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1002_5c271b3b60a79" sheetId="1" r:id="rId1"/>
    <sheet name="Sheet1" sheetId="2" r:id="rId2"/>
  </sheets>
  <definedNames>
    <definedName name="_xlnm._FilterDatabase" localSheetId="0" hidden="1">'1002_5c271b3b60a79'!$A$3:$F$218</definedName>
  </definedNames>
  <calcPr calcId="125725"/>
</workbook>
</file>

<file path=xl/calcChain.xml><?xml version="1.0" encoding="utf-8"?>
<calcChain xmlns="http://schemas.openxmlformats.org/spreadsheetml/2006/main">
  <c r="C195" i="1"/>
  <c r="C194"/>
  <c r="C153"/>
  <c r="C114"/>
  <c r="C81"/>
  <c r="C75"/>
  <c r="C66"/>
  <c r="C60"/>
  <c r="C29"/>
  <c r="C28"/>
  <c r="C22"/>
  <c r="C21"/>
  <c r="AI223" i="2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A223"/>
  <c r="AI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A222"/>
  <c r="AV221"/>
  <c r="AI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A221"/>
  <c r="AV220"/>
  <c r="AI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A220"/>
  <c r="AV219"/>
  <c r="AI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A219"/>
  <c r="AV218"/>
  <c r="AI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A218"/>
  <c r="AV217"/>
  <c r="AI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A217"/>
  <c r="AV216"/>
  <c r="AI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A216"/>
  <c r="AV215"/>
  <c r="AI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A215"/>
  <c r="AV214"/>
  <c r="AI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A214"/>
  <c r="AV213"/>
  <c r="AI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A213"/>
  <c r="AV212"/>
  <c r="AI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A212"/>
  <c r="AV211"/>
  <c r="AI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A211"/>
  <c r="AV210"/>
  <c r="AI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A210"/>
  <c r="AV209"/>
  <c r="AI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A209"/>
  <c r="AV208"/>
  <c r="AI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A208"/>
  <c r="AV207"/>
  <c r="AI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A207"/>
  <c r="AV206"/>
  <c r="AI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A206"/>
  <c r="AV205"/>
  <c r="AI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A205"/>
  <c r="AV204"/>
  <c r="AI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A204"/>
  <c r="AI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A203"/>
  <c r="AI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A202"/>
  <c r="AI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A201"/>
  <c r="AV200"/>
  <c r="AI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A200"/>
  <c r="AV199"/>
  <c r="AI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A199"/>
  <c r="AV198"/>
  <c r="AI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A198"/>
  <c r="AI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A197"/>
  <c r="AI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A196"/>
  <c r="AI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A195"/>
  <c r="AI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A194"/>
  <c r="AI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A193"/>
  <c r="AI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A192"/>
  <c r="AI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A191"/>
  <c r="AI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A190"/>
  <c r="AI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A189"/>
  <c r="AI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A188"/>
  <c r="AI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A187"/>
  <c r="AI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A186"/>
  <c r="AI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A185"/>
  <c r="AI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A184"/>
  <c r="AI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A183"/>
  <c r="AI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A182"/>
  <c r="AI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A181"/>
  <c r="AI180"/>
  <c r="AD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A180"/>
  <c r="AI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A179"/>
  <c r="AI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A178"/>
  <c r="AI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A177"/>
  <c r="AI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A176"/>
  <c r="AI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A175"/>
  <c r="AI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A174"/>
  <c r="AI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A173"/>
  <c r="AI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A172"/>
  <c r="AI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A171"/>
  <c r="AI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A170"/>
  <c r="AI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A169"/>
  <c r="AI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A168"/>
  <c r="AI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A167"/>
  <c r="AI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A166"/>
  <c r="AI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A165"/>
  <c r="AI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A164"/>
  <c r="AI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A163"/>
  <c r="AI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A162"/>
  <c r="AI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A161"/>
  <c r="AI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A160"/>
  <c r="AI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A159"/>
  <c r="AI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A158"/>
  <c r="AI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A157"/>
  <c r="AI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A156"/>
  <c r="AI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A155"/>
  <c r="AI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A154"/>
  <c r="AI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A153"/>
  <c r="AI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A152"/>
  <c r="AI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A151"/>
  <c r="AI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A150"/>
  <c r="AI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A149"/>
  <c r="AI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A148"/>
  <c r="AI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A147"/>
  <c r="AI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A146"/>
  <c r="AI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A145"/>
  <c r="AI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A144"/>
  <c r="AI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A143"/>
  <c r="AI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A142"/>
  <c r="AI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A141"/>
  <c r="AI140"/>
  <c r="AD140"/>
  <c r="AC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A140"/>
  <c r="AI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A139"/>
  <c r="AI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A138"/>
  <c r="AI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A137"/>
  <c r="AI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A136"/>
  <c r="AI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A135"/>
  <c r="AI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A134"/>
  <c r="AI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A133"/>
  <c r="AI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A132"/>
  <c r="AV131"/>
  <c r="AI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A131"/>
  <c r="AV130"/>
  <c r="AI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A130"/>
  <c r="AV129"/>
  <c r="AI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A129"/>
  <c r="AI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A128"/>
  <c r="AI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A127"/>
  <c r="AI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A126"/>
  <c r="AI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A125"/>
  <c r="AI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A124"/>
  <c r="AI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A123"/>
  <c r="AI122"/>
  <c r="AD122"/>
  <c r="AC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A122"/>
  <c r="AI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A121"/>
  <c r="AI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A120"/>
  <c r="AI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A119"/>
  <c r="AI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118"/>
  <c r="AI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A117"/>
  <c r="AI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A116"/>
  <c r="AI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A115"/>
  <c r="AI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A114"/>
  <c r="AI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A113"/>
  <c r="AI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A112"/>
  <c r="AI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A111"/>
  <c r="AI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A110"/>
  <c r="AI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A109"/>
  <c r="AI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A108"/>
  <c r="AI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A107"/>
  <c r="AI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106"/>
  <c r="AI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A105"/>
  <c r="AI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A104"/>
  <c r="AI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A103"/>
  <c r="AI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A102"/>
  <c r="AI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A101"/>
  <c r="AI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100"/>
  <c r="AI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A99"/>
  <c r="AI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A98"/>
  <c r="AI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A97"/>
  <c r="AI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A96"/>
  <c r="AI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A95"/>
  <c r="AI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94"/>
  <c r="AI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A93"/>
  <c r="AI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A92"/>
  <c r="AI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90"/>
  <c r="AI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A89"/>
  <c r="AI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88"/>
  <c r="AI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A87"/>
  <c r="AI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A86"/>
  <c r="AI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A85"/>
  <c r="AI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A84"/>
  <c r="AI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A83"/>
  <c r="AI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82"/>
  <c r="AI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A81"/>
  <c r="AI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A80"/>
  <c r="AI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A79"/>
  <c r="AI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A78"/>
  <c r="AI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A77"/>
  <c r="AI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A76"/>
  <c r="AI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A75"/>
  <c r="AI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A74"/>
  <c r="AI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A73"/>
  <c r="AI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A72"/>
  <c r="AI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A71"/>
  <c r="AI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A70"/>
  <c r="AI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A69"/>
  <c r="AI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A68"/>
  <c r="AI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A67"/>
  <c r="AI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A66"/>
  <c r="AI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65"/>
  <c r="AI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64"/>
  <c r="AI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63"/>
  <c r="AI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62"/>
  <c r="AI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A61"/>
  <c r="AI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60"/>
  <c r="AI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59"/>
  <c r="AI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58"/>
  <c r="AI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57"/>
  <c r="AI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56"/>
  <c r="AI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55"/>
  <c r="AI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54"/>
  <c r="AI53"/>
  <c r="AD53"/>
  <c r="AC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53"/>
  <c r="AI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52"/>
  <c r="AI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51"/>
  <c r="AI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50"/>
  <c r="AI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49"/>
  <c r="AI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48"/>
  <c r="AI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47"/>
  <c r="AI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46"/>
  <c r="AI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45"/>
  <c r="AI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44"/>
  <c r="AI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43"/>
  <c r="AI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42"/>
  <c r="AI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41"/>
  <c r="AI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40"/>
  <c r="AI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39"/>
  <c r="AI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38"/>
  <c r="AI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37"/>
  <c r="AI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36"/>
  <c r="AI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35"/>
  <c r="AI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34"/>
  <c r="AV33"/>
  <c r="AI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33"/>
  <c r="AV32"/>
  <c r="AI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32"/>
  <c r="AV31"/>
  <c r="AI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31"/>
  <c r="AI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30"/>
  <c r="AI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29"/>
  <c r="AI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28"/>
  <c r="AV27"/>
  <c r="AI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27"/>
  <c r="AV26"/>
  <c r="AI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26"/>
  <c r="AV25"/>
  <c r="AI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25"/>
  <c r="AV24"/>
  <c r="AI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24"/>
  <c r="AV23"/>
  <c r="AI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23"/>
  <c r="AV22"/>
  <c r="AI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22"/>
  <c r="AV21"/>
  <c r="AI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21"/>
  <c r="AV20"/>
  <c r="AI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20"/>
  <c r="AV19"/>
  <c r="AI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19"/>
  <c r="AV18"/>
  <c r="AI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18"/>
  <c r="AV17"/>
  <c r="AI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17"/>
  <c r="AV16"/>
  <c r="AI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16"/>
  <c r="AV15"/>
  <c r="AI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15"/>
  <c r="AV14"/>
  <c r="AI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14"/>
  <c r="AV13"/>
  <c r="AI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13"/>
  <c r="AV12"/>
  <c r="AI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12"/>
  <c r="AV11"/>
  <c r="AI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11"/>
  <c r="AV10"/>
  <c r="AI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10"/>
  <c r="AV9"/>
  <c r="AI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9"/>
  <c r="AV8"/>
  <c r="AI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8"/>
  <c r="AV7"/>
  <c r="AI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7"/>
  <c r="AV6"/>
  <c r="AI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A6"/>
  <c r="AV5"/>
  <c r="AI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5"/>
  <c r="AV4"/>
  <c r="AI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A4"/>
  <c r="AV3"/>
  <c r="AI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A3"/>
  <c r="C202" i="1"/>
  <c r="C203"/>
  <c r="C151"/>
  <c r="C152"/>
  <c r="C115"/>
  <c r="C117"/>
  <c r="C116"/>
  <c r="C113"/>
  <c r="C112"/>
  <c r="C110"/>
  <c r="C109"/>
  <c r="C111"/>
  <c r="C108"/>
  <c r="C107"/>
  <c r="C106"/>
  <c r="C102"/>
  <c r="C100"/>
  <c r="C103"/>
  <c r="C101"/>
  <c r="C104"/>
  <c r="C105"/>
  <c r="C96"/>
  <c r="C97"/>
  <c r="C94"/>
  <c r="C95"/>
  <c r="C99"/>
  <c r="C98"/>
  <c r="C89"/>
  <c r="C93"/>
  <c r="C92"/>
  <c r="C90"/>
  <c r="C91"/>
  <c r="C88"/>
  <c r="C85"/>
  <c r="C87"/>
  <c r="C86"/>
  <c r="C84"/>
  <c r="C82"/>
  <c r="C83"/>
  <c r="C78"/>
  <c r="C77"/>
  <c r="C76"/>
  <c r="C74"/>
  <c r="C73"/>
  <c r="C71"/>
  <c r="C70"/>
  <c r="C72"/>
  <c r="C68"/>
  <c r="C69"/>
  <c r="C67"/>
  <c r="C64"/>
  <c r="C65"/>
  <c r="C61"/>
  <c r="C63"/>
  <c r="C62"/>
  <c r="C56"/>
  <c r="C55"/>
  <c r="C59"/>
  <c r="C57"/>
  <c r="C58"/>
  <c r="C54"/>
  <c r="C52"/>
  <c r="C53"/>
  <c r="C50"/>
  <c r="C51"/>
  <c r="C49"/>
  <c r="C48"/>
  <c r="C46"/>
  <c r="C47"/>
  <c r="C41"/>
  <c r="C42"/>
  <c r="C43"/>
  <c r="C45"/>
  <c r="C44"/>
  <c r="C40"/>
  <c r="C39"/>
  <c r="C38"/>
  <c r="C37"/>
  <c r="C35"/>
  <c r="C36"/>
  <c r="C34"/>
  <c r="C30"/>
  <c r="C31"/>
  <c r="C218"/>
  <c r="C201"/>
  <c r="C199"/>
  <c r="C200"/>
  <c r="C193"/>
  <c r="C191"/>
  <c r="C190"/>
  <c r="C192"/>
  <c r="C189"/>
  <c r="C188"/>
  <c r="C187"/>
  <c r="C184"/>
  <c r="C186"/>
  <c r="C185"/>
  <c r="C182"/>
  <c r="C181"/>
  <c r="C183"/>
  <c r="C178"/>
  <c r="C179"/>
  <c r="C180"/>
  <c r="C177"/>
  <c r="C175"/>
  <c r="C176"/>
  <c r="C174"/>
  <c r="C172"/>
  <c r="C173"/>
  <c r="C171"/>
  <c r="C170"/>
  <c r="C169"/>
  <c r="C166"/>
  <c r="C167"/>
  <c r="C168"/>
  <c r="C164"/>
  <c r="C163"/>
  <c r="C165"/>
  <c r="C160"/>
  <c r="C161"/>
  <c r="C162"/>
  <c r="C158"/>
  <c r="C157"/>
  <c r="C159"/>
  <c r="C154"/>
  <c r="C155"/>
  <c r="C156"/>
  <c r="C148"/>
  <c r="C149"/>
  <c r="C150"/>
  <c r="C146"/>
  <c r="C145"/>
  <c r="C147"/>
  <c r="C142"/>
  <c r="C144"/>
  <c r="C143"/>
  <c r="C139"/>
  <c r="C140"/>
  <c r="C141"/>
  <c r="C136"/>
  <c r="C137"/>
  <c r="C138"/>
  <c r="C133"/>
  <c r="C134"/>
  <c r="C135"/>
  <c r="C130"/>
  <c r="C132"/>
  <c r="C131"/>
  <c r="C124"/>
  <c r="C125"/>
  <c r="C126"/>
  <c r="C122"/>
  <c r="C121"/>
  <c r="C123"/>
  <c r="C120"/>
  <c r="C119"/>
  <c r="C118"/>
  <c r="C80"/>
  <c r="C79"/>
  <c r="C18"/>
  <c r="C13"/>
  <c r="C198"/>
  <c r="C215"/>
  <c r="C7"/>
  <c r="C14"/>
  <c r="C20"/>
  <c r="C15"/>
  <c r="C197"/>
  <c r="C210"/>
  <c r="C127"/>
  <c r="C11"/>
  <c r="C211"/>
  <c r="C6"/>
  <c r="C196"/>
  <c r="C27"/>
  <c r="C128"/>
  <c r="C217"/>
  <c r="C206"/>
  <c r="C9"/>
  <c r="C4"/>
  <c r="C8"/>
  <c r="C16"/>
  <c r="C214"/>
  <c r="C205"/>
  <c r="C10"/>
  <c r="C23"/>
  <c r="C26"/>
  <c r="C216"/>
  <c r="C25"/>
  <c r="C212"/>
  <c r="C19"/>
  <c r="C207"/>
  <c r="C208"/>
  <c r="C204"/>
  <c r="C129"/>
  <c r="C209"/>
  <c r="C24"/>
  <c r="C17"/>
  <c r="C12"/>
  <c r="C33"/>
  <c r="C213"/>
  <c r="C32"/>
  <c r="C5"/>
</calcChain>
</file>

<file path=xl/sharedStrings.xml><?xml version="1.0" encoding="utf-8"?>
<sst xmlns="http://schemas.openxmlformats.org/spreadsheetml/2006/main" count="1992" uniqueCount="352">
  <si>
    <t>报考号</t>
  </si>
  <si>
    <t>报考岗位</t>
  </si>
  <si>
    <t>姓名</t>
  </si>
  <si>
    <t>性别</t>
  </si>
  <si>
    <t>出生年月</t>
  </si>
  <si>
    <t>身份证号码</t>
  </si>
  <si>
    <t>户籍所在地</t>
  </si>
  <si>
    <t>考生身份</t>
  </si>
  <si>
    <t>专业技术资格</t>
  </si>
  <si>
    <t>毕业时间</t>
  </si>
  <si>
    <t>最高学位</t>
  </si>
  <si>
    <t>毕业院校</t>
  </si>
  <si>
    <t>所学专业</t>
  </si>
  <si>
    <t>最高学历</t>
  </si>
  <si>
    <t>身高(cm)</t>
  </si>
  <si>
    <t>现工作单位</t>
  </si>
  <si>
    <t>参加工作时间</t>
  </si>
  <si>
    <t>联系地址</t>
  </si>
  <si>
    <t>邮政编码</t>
  </si>
  <si>
    <t>固定电话</t>
  </si>
  <si>
    <t>移动电话</t>
  </si>
  <si>
    <t>普通话等级</t>
  </si>
  <si>
    <t>是否退伍军人</t>
  </si>
  <si>
    <t>外语掌握程度</t>
  </si>
  <si>
    <t>计算机掌握程度</t>
  </si>
  <si>
    <t>家庭成员</t>
  </si>
  <si>
    <t>学习工作简历（从高中毕业后填起）</t>
  </si>
  <si>
    <t>其他信息</t>
  </si>
  <si>
    <t>备注</t>
  </si>
  <si>
    <t>复审时间</t>
  </si>
  <si>
    <t>审核状态</t>
  </si>
  <si>
    <t>缴费状态</t>
  </si>
  <si>
    <t>准考证打印次数</t>
  </si>
  <si>
    <t>准考证号</t>
  </si>
  <si>
    <t>考场号</t>
  </si>
  <si>
    <t>座位号</t>
  </si>
  <si>
    <t>考点名称</t>
  </si>
  <si>
    <t>考点地址</t>
  </si>
  <si>
    <t>考点号</t>
  </si>
  <si>
    <t>排序号</t>
  </si>
  <si>
    <t>IP地址</t>
  </si>
  <si>
    <t>注册时间</t>
  </si>
  <si>
    <t>江苏省如皋中等专业学校</t>
  </si>
  <si>
    <t>江苏省南通市如皋市福寿东路188号</t>
  </si>
  <si>
    <t>04_助理工程师</t>
  </si>
  <si>
    <t>56_助理工程师</t>
  </si>
  <si>
    <t>10.255.100.254</t>
  </si>
  <si>
    <t>03_助理编辑</t>
  </si>
  <si>
    <t>58.221.237.178</t>
  </si>
  <si>
    <t>61_护士</t>
  </si>
  <si>
    <t>223.104.146.82</t>
  </si>
  <si>
    <t>02_助理记者</t>
  </si>
  <si>
    <t>112.2.59.198</t>
  </si>
  <si>
    <t>33_助理工程师</t>
  </si>
  <si>
    <t>58.221.82.162</t>
  </si>
  <si>
    <t>101.68.19.61</t>
  </si>
  <si>
    <t>58_中医师</t>
  </si>
  <si>
    <t>58.221.190.46</t>
  </si>
  <si>
    <t>218.91.159.91</t>
  </si>
  <si>
    <t>61.147.201.3</t>
  </si>
  <si>
    <t>59_医师</t>
  </si>
  <si>
    <t>112.25.163.201</t>
  </si>
  <si>
    <t>58.221.238.111</t>
  </si>
  <si>
    <t>06_助理工程师</t>
  </si>
  <si>
    <t>60_医师</t>
  </si>
  <si>
    <t>49.79.188.97</t>
  </si>
  <si>
    <t>222.184.240.68</t>
  </si>
  <si>
    <t>61.147.201.4</t>
  </si>
  <si>
    <t>58.221.95.190</t>
  </si>
  <si>
    <t>112.64.119.243</t>
  </si>
  <si>
    <t>223.104.146.118</t>
  </si>
  <si>
    <t>58.221.131.82</t>
  </si>
  <si>
    <t>221.231.107.170</t>
  </si>
  <si>
    <t>112.21.82.64</t>
  </si>
  <si>
    <t>112.22.219.169</t>
  </si>
  <si>
    <t>222.184.250.2</t>
  </si>
  <si>
    <t>183.208.135.235</t>
  </si>
  <si>
    <t>223.104.146.100</t>
  </si>
  <si>
    <t>49.79.191.167</t>
  </si>
  <si>
    <t>117.136.46.26</t>
  </si>
  <si>
    <t>117.91.29.227</t>
  </si>
  <si>
    <t>223.66.215.251</t>
  </si>
  <si>
    <t>114.231.142.62</t>
  </si>
  <si>
    <t>121.232.49.224</t>
  </si>
  <si>
    <t>49.79.18.86</t>
  </si>
  <si>
    <t>58.241.164.106</t>
  </si>
  <si>
    <t>221.227.157.103</t>
  </si>
  <si>
    <t>122.194.9.203</t>
  </si>
  <si>
    <t>183.208.151.17</t>
  </si>
  <si>
    <t>49.67.223.163</t>
  </si>
  <si>
    <t>218.94.121.164</t>
  </si>
  <si>
    <t>58.220.100.233</t>
  </si>
  <si>
    <t>112.0.176.90</t>
  </si>
  <si>
    <t>49.67.158.243</t>
  </si>
  <si>
    <t>112.25.163.54</t>
  </si>
  <si>
    <t>112.21.81.152</t>
  </si>
  <si>
    <t>183.208.136.86</t>
  </si>
  <si>
    <t>180.126.250.199</t>
  </si>
  <si>
    <t>58.221.225.50</t>
  </si>
  <si>
    <t>112.0.181.203</t>
  </si>
  <si>
    <t>114.232.41.211</t>
  </si>
  <si>
    <t>121.232.51.3</t>
  </si>
  <si>
    <t>新闻采集和报道专业知识</t>
    <phoneticPr fontId="18" type="noConversion"/>
  </si>
  <si>
    <t>新闻采编专业知识</t>
    <phoneticPr fontId="18" type="noConversion"/>
  </si>
  <si>
    <t>计算机专业知识</t>
    <phoneticPr fontId="18" type="noConversion"/>
  </si>
  <si>
    <t>中医学</t>
    <phoneticPr fontId="18" type="noConversion"/>
  </si>
  <si>
    <t>临床医学</t>
    <phoneticPr fontId="18" type="noConversion"/>
  </si>
  <si>
    <t>护理学</t>
    <phoneticPr fontId="18" type="noConversion"/>
  </si>
  <si>
    <t>02</t>
  </si>
  <si>
    <t>03</t>
  </si>
  <si>
    <t>04</t>
  </si>
  <si>
    <t>05</t>
  </si>
  <si>
    <t>06</t>
  </si>
  <si>
    <t>08</t>
  </si>
  <si>
    <t>04</t>
    <phoneticPr fontId="18" type="noConversion"/>
  </si>
  <si>
    <t>05</t>
    <phoneticPr fontId="18" type="noConversion"/>
  </si>
  <si>
    <t>08</t>
    <phoneticPr fontId="18" type="noConversion"/>
  </si>
  <si>
    <t>/</t>
    <phoneticPr fontId="18" type="noConversion"/>
  </si>
  <si>
    <t>21_助理工程师</t>
  </si>
  <si>
    <t>如皋市安定小学</t>
  </si>
  <si>
    <t>江苏省南通市如皋市宁海东路与李渔路交口西北角</t>
  </si>
  <si>
    <t>121.232.75.44</t>
  </si>
  <si>
    <t>58.243.254.152</t>
  </si>
  <si>
    <t>223.113.6.130</t>
  </si>
  <si>
    <t>30_助理工程师</t>
  </si>
  <si>
    <t>112.20.225.89</t>
  </si>
  <si>
    <t>123.245.151.220</t>
  </si>
  <si>
    <t>="1999.9-2003.6 如东县马塘中学高中部 学生_x000D_
2003.9-2006.6 南京人口管理干部学院信息科学系计算机网络技术专业(大专) 学生_x000D_
2006.9-2008.6 江苏技术师范学院计算机学院计算机科学与技术专业（本科） 学生_x000D_
2011.3-2013.7 南京大学网络教育学院资源环境与城乡规划管理专业（本科） 学生_x000D_
2013.9-2016.1 中国农业大学网络教育学院动物医学专业（本科）学生_x000D_
2014.9-2017.1 南京大学网络教育学院会计学专业（本科) 学生_x000D_
2008.10</t>
  </si>
  <si>
    <t>222.184.175.200</t>
  </si>
  <si>
    <t>31_助理经济师</t>
  </si>
  <si>
    <t>112.0.173.157</t>
  </si>
  <si>
    <t>112.21.82.237</t>
  </si>
  <si>
    <t>32_职员</t>
  </si>
  <si>
    <t>183.208.134.170</t>
  </si>
  <si>
    <t>180.120.133.40</t>
  </si>
  <si>
    <t>114.216.132.246</t>
  </si>
  <si>
    <t>34_职员</t>
  </si>
  <si>
    <t>223.68.180.98</t>
  </si>
  <si>
    <t>222.184.143.16</t>
  </si>
  <si>
    <t>117.136.68.199</t>
  </si>
  <si>
    <t>35_助理统计师</t>
  </si>
  <si>
    <t>183.208.136.244</t>
  </si>
  <si>
    <t>58.241.217.42</t>
  </si>
  <si>
    <t>58.222.83.18</t>
  </si>
  <si>
    <t>36_职员</t>
  </si>
  <si>
    <t>="2004.09—2007.06 如皋市白蒲中学学习，宣传委员、学科代表；_x000D_
2007.09—2010.06 扬州工业职业技术学院学习，校学生会副主席、江苏省优秀学生会干部；_x000D_
2008.07 江苏省“青马工程”建设梯队成员，共青团江苏省委与江苏省学生联合会举办的“第二期江苏省大学生菁英人才学校”学习；_x000D_
2010.09—2012.06江苏师范大学科文学院中文系汉语言文学（高级文秘）专业本科学习，副班长；_x000D_
2012.08—2015.09 如皋市白蒲镇镇区社区党总支书记助理；_x000D_
2015.10—2016</t>
  </si>
  <si>
    <t>58.221.174.222</t>
  </si>
  <si>
    <t>58.221.129.186</t>
  </si>
  <si>
    <t>37_助理会计师</t>
  </si>
  <si>
    <t>58.221.131.94</t>
  </si>
  <si>
    <t>58.221.131.87</t>
  </si>
  <si>
    <t>58.221.189.70</t>
  </si>
  <si>
    <t>49.79.97.15</t>
  </si>
  <si>
    <t>183.208.133.242</t>
  </si>
  <si>
    <t>38_助理经济师</t>
  </si>
  <si>
    <t>58.221.238.4</t>
  </si>
  <si>
    <t>58.221.131.93</t>
  </si>
  <si>
    <t>223.66.220.179</t>
  </si>
  <si>
    <t>58.221.0.22</t>
  </si>
  <si>
    <t>39_助理会计师</t>
  </si>
  <si>
    <t>59.63.206.196</t>
  </si>
  <si>
    <t>58.222.156.34</t>
  </si>
  <si>
    <t>117.136.67.42</t>
  </si>
  <si>
    <t>40_助理工程师</t>
  </si>
  <si>
    <t>49.87.172.22</t>
  </si>
  <si>
    <t>58.240.246.1</t>
  </si>
  <si>
    <t>218.92.166.219</t>
  </si>
  <si>
    <t>42_助理工程师</t>
  </si>
  <si>
    <t>49.79.17.66</t>
  </si>
  <si>
    <t>183.208.128.195</t>
  </si>
  <si>
    <t>121.226.77.17</t>
  </si>
  <si>
    <t>180.103.30.206</t>
  </si>
  <si>
    <t>43_助理经济师</t>
  </si>
  <si>
    <t>36.149.38.190</t>
  </si>
  <si>
    <t>183.206.168.176</t>
  </si>
  <si>
    <t>222.184.240.42</t>
  </si>
  <si>
    <t>44_职员</t>
  </si>
  <si>
    <t>114.232.250.176</t>
  </si>
  <si>
    <t>112.24.124.213</t>
  </si>
  <si>
    <t>117.136.91.247</t>
  </si>
  <si>
    <t>45_职员</t>
  </si>
  <si>
    <t>223.104.147.162</t>
  </si>
  <si>
    <t>117.136.45.226</t>
  </si>
  <si>
    <t>117.87.33.26</t>
  </si>
  <si>
    <t>61.132.41.10</t>
  </si>
  <si>
    <t>46_职员</t>
  </si>
  <si>
    <t>117.136.46.31</t>
  </si>
  <si>
    <t>223.104.146.170</t>
  </si>
  <si>
    <t>47_助理工程师</t>
  </si>
  <si>
    <t>112.4.192.129</t>
  </si>
  <si>
    <t>221.131.144.85</t>
  </si>
  <si>
    <t>48_助理工程师</t>
  </si>
  <si>
    <t>183.210.22.28</t>
  </si>
  <si>
    <t>112.0.9.164</t>
  </si>
  <si>
    <t>49_助理工程师</t>
  </si>
  <si>
    <t>112.4.192.173</t>
  </si>
  <si>
    <t>183.210.186.6</t>
  </si>
  <si>
    <t>50_助理农艺师</t>
  </si>
  <si>
    <t>58.220.100.245</t>
  </si>
  <si>
    <t>223.67.184.157</t>
  </si>
  <si>
    <t>="奖惩情况：_x000D_
2014-2015学年 校长二等奖学金；_x000D_
2016-2017学年 研究生二等学业奖学金；_x000D_
2017-2018学年 研究生二等学业奖学金。_x000D_
发表文章：_x000D_
以第一作者在American Journal of Biological and Environmental Statistics杂志上发表一篇名为Effects of Paclobutrazol on Dry Matter Accumulation and Grain Filling of Castor Bean的文章；_x000D_
以第二</t>
  </si>
  <si>
    <t>58.220.100.244</t>
  </si>
  <si>
    <t>51_职员</t>
  </si>
  <si>
    <t>58.216.247.109</t>
  </si>
  <si>
    <t>58.221.117.7</t>
  </si>
  <si>
    <t>183.208.128.207</t>
  </si>
  <si>
    <t>52_助理经济师</t>
  </si>
  <si>
    <t>183.207.172.158</t>
  </si>
  <si>
    <t>117.136.68.112</t>
  </si>
  <si>
    <t>112.21.82.106</t>
  </si>
  <si>
    <t>58.219.180.200</t>
  </si>
  <si>
    <t>53_职员</t>
  </si>
  <si>
    <t>117.136.67.145</t>
  </si>
  <si>
    <t>54_职员</t>
  </si>
  <si>
    <t>222.184.141.5</t>
  </si>
  <si>
    <t>223.80.195.175</t>
  </si>
  <si>
    <t>55_助理兽医（畜牧）师</t>
  </si>
  <si>
    <t>222.184.54.100</t>
  </si>
  <si>
    <t>49.71.201.192</t>
  </si>
  <si>
    <t>58.220.217.38</t>
  </si>
  <si>
    <t>57_助理会计师</t>
  </si>
  <si>
    <t>120.195.67.248</t>
  </si>
  <si>
    <t>58.221.187.226</t>
  </si>
  <si>
    <t>117.86.209.60</t>
  </si>
  <si>
    <t>223.66.214.136</t>
  </si>
  <si>
    <t>62_三级公证员</t>
  </si>
  <si>
    <t>112.21.81.137</t>
  </si>
  <si>
    <t>05_职员</t>
  </si>
  <si>
    <t>49.71.235.174</t>
  </si>
  <si>
    <t>117.92.74.4</t>
  </si>
  <si>
    <t>183.209.74.53</t>
  </si>
  <si>
    <t>07_职员</t>
  </si>
  <si>
    <t>221.6.194.122</t>
  </si>
  <si>
    <t>120.35.33.24</t>
  </si>
  <si>
    <t>112.22.207.246</t>
  </si>
  <si>
    <t>08_助理工程师</t>
  </si>
  <si>
    <t>112.0.193.6</t>
  </si>
  <si>
    <t>180.120.80.203</t>
  </si>
  <si>
    <t>09_助理工程师</t>
  </si>
  <si>
    <t>211.136.174.150</t>
  </si>
  <si>
    <t>117.95.145.178</t>
  </si>
  <si>
    <t>58.210.245.27</t>
  </si>
  <si>
    <t>112.23.136.127</t>
  </si>
  <si>
    <t>10_助理工程师</t>
  </si>
  <si>
    <t>218.91.204.203</t>
  </si>
  <si>
    <t>112.0.182.245</t>
  </si>
  <si>
    <t>140.75.225.60</t>
  </si>
  <si>
    <t>112.0.177.71</t>
  </si>
  <si>
    <t>11_助理工程师</t>
  </si>
  <si>
    <t>222.92.72.74</t>
  </si>
  <si>
    <t>220.189.229.242</t>
  </si>
  <si>
    <t>112.3.174.249</t>
  </si>
  <si>
    <t>122.226.185.233</t>
  </si>
  <si>
    <t>12_助理工程师</t>
  </si>
  <si>
    <t>112.0.9.33</t>
  </si>
  <si>
    <t>="1999.09-2002.07 江苏省仪征市中学 学生_x000D_
2002.09-2006.06 淮海工学院化学工程系制药工程专业 学生_x000D_
2006.07-2008.07 美国柏立特医疗器械有限公司上海办事处质量工程师_x000D_
2008.08-2009.08 中国太平洋人寿保险公司扬州支公司 出单中心文员_x000D_
2009.09-2010.05 中国电信扬州公司 客服人员_x000D_
2010.06-2013.12 江苏实康水务环保发展有限公司 技术员_x000D_
2014.03-2015.03 扬州化工产业园华煦供热有限公司 助理_x000D_
20</t>
  </si>
  <si>
    <t>58.220.219.243</t>
  </si>
  <si>
    <t>117.136.66.160</t>
  </si>
  <si>
    <t>13_助理工程师</t>
  </si>
  <si>
    <t>112.20.5.185</t>
  </si>
  <si>
    <t>218.90.237.162</t>
  </si>
  <si>
    <t>218.90.235.242</t>
  </si>
  <si>
    <t>180.170.251.169</t>
  </si>
  <si>
    <t>121.230.68.125</t>
  </si>
  <si>
    <t>120.195.45.164</t>
  </si>
  <si>
    <t>14_助理馆员</t>
  </si>
  <si>
    <t>218.3.103.225</t>
  </si>
  <si>
    <t>114.236.69.186</t>
  </si>
  <si>
    <t>223.104.145.132</t>
  </si>
  <si>
    <t>16_助理馆员</t>
  </si>
  <si>
    <t>180.120.37.206</t>
  </si>
  <si>
    <t>39.182.239.133</t>
  </si>
  <si>
    <t>59.44.40.194</t>
  </si>
  <si>
    <t>17_助理工程师</t>
  </si>
  <si>
    <t>112.20.255.14</t>
  </si>
  <si>
    <t>223.66.251.109</t>
  </si>
  <si>
    <t>183.213.240.242</t>
  </si>
  <si>
    <t>18_职员</t>
  </si>
  <si>
    <t>121.232.48.144</t>
  </si>
  <si>
    <t>19_助理工程师</t>
  </si>
  <si>
    <t>49.67.224.108</t>
  </si>
  <si>
    <t>114.232.94.203</t>
  </si>
  <si>
    <t>20_助理工程师</t>
  </si>
  <si>
    <t>117.86.142.41</t>
  </si>
  <si>
    <t>221.131.157.166</t>
  </si>
  <si>
    <t>117.81.78.69</t>
  </si>
  <si>
    <t>22_职员</t>
  </si>
  <si>
    <t>61.160.83.146</t>
  </si>
  <si>
    <t>58.221.239.18</t>
  </si>
  <si>
    <t>58.208.205.126</t>
  </si>
  <si>
    <t>180.124.140.174</t>
  </si>
  <si>
    <t>218.70.106.214</t>
  </si>
  <si>
    <t>218.23.237.119</t>
  </si>
  <si>
    <t>121.226.51.244</t>
  </si>
  <si>
    <t>117.136.46.15</t>
  </si>
  <si>
    <t>23_职员</t>
  </si>
  <si>
    <t>183.211.80.64</t>
  </si>
  <si>
    <t>61.155.50.237</t>
  </si>
  <si>
    <t>112.21.126.4</t>
  </si>
  <si>
    <t>24_职员</t>
  </si>
  <si>
    <t>117.93.160.131</t>
  </si>
  <si>
    <t>119.186.16.59</t>
  </si>
  <si>
    <t>49.65.140.74</t>
  </si>
  <si>
    <t>49.67.31.196</t>
  </si>
  <si>
    <t>180.121.156.63</t>
  </si>
  <si>
    <t>210.32.92.194</t>
  </si>
  <si>
    <t>25_职员</t>
  </si>
  <si>
    <t>223.67.184.23</t>
  </si>
  <si>
    <t>49.92.206.133</t>
  </si>
  <si>
    <t>180.120.165.108</t>
  </si>
  <si>
    <t>221.228.233.64</t>
  </si>
  <si>
    <t>119.98.227.193</t>
  </si>
  <si>
    <t>26_职员</t>
  </si>
  <si>
    <t>58.213.90.226</t>
  </si>
  <si>
    <t>49.71.208.182</t>
  </si>
  <si>
    <t>211.142.202.164</t>
  </si>
  <si>
    <t>27_职员</t>
  </si>
  <si>
    <t>49.90.55.12</t>
  </si>
  <si>
    <t>112.0.183.77</t>
  </si>
  <si>
    <t>28_职员</t>
  </si>
  <si>
    <t>112.36.81.220</t>
  </si>
  <si>
    <t>112.234.108.34</t>
  </si>
  <si>
    <t>49.79.98.116</t>
  </si>
  <si>
    <t>29_职员</t>
  </si>
  <si>
    <t>112.0.183.249</t>
  </si>
  <si>
    <t>49.66.31.236</t>
  </si>
  <si>
    <t>41_助理会计师</t>
  </si>
  <si>
    <t>223.106.137.218</t>
  </si>
  <si>
    <t>49.87.93.196</t>
  </si>
  <si>
    <t>223.104.146.121</t>
  </si>
  <si>
    <t>综合知识和基本能力</t>
    <phoneticPr fontId="18" type="noConversion"/>
  </si>
  <si>
    <t>01</t>
  </si>
  <si>
    <t>备注</t>
    <phoneticPr fontId="18" type="noConversion"/>
  </si>
  <si>
    <t>序号</t>
    <phoneticPr fontId="18" type="noConversion"/>
  </si>
  <si>
    <t>如皋市部分事业单位2018年下半年公开招聘工作人员资格复审人员名单</t>
    <phoneticPr fontId="18" type="noConversion"/>
  </si>
  <si>
    <t>笔试科目</t>
    <phoneticPr fontId="18" type="noConversion"/>
  </si>
  <si>
    <t>科目代码</t>
    <phoneticPr fontId="18" type="noConversion"/>
  </si>
  <si>
    <t>客观题成绩</t>
    <phoneticPr fontId="18" type="noConversion"/>
  </si>
  <si>
    <t>作文成绩</t>
    <phoneticPr fontId="18" type="noConversion"/>
  </si>
  <si>
    <t>笔试成绩</t>
    <phoneticPr fontId="18" type="noConversion"/>
  </si>
  <si>
    <t>岗位内排名</t>
    <phoneticPr fontId="18" type="noConversion"/>
  </si>
  <si>
    <t>签到</t>
    <phoneticPr fontId="18" type="noConversion"/>
  </si>
  <si>
    <t>如皋市部分事业单位2018年下半年公开招聘工作人员面试人员名单</t>
    <phoneticPr fontId="18" type="noConversion"/>
  </si>
  <si>
    <t>附件：</t>
    <phoneticPr fontId="18" type="noConversion"/>
  </si>
  <si>
    <t>第4名放弃</t>
    <phoneticPr fontId="18" type="noConversion"/>
  </si>
  <si>
    <t>第5、7名放弃</t>
    <phoneticPr fontId="18" type="noConversion"/>
  </si>
  <si>
    <t>第3、4名放弃</t>
    <phoneticPr fontId="18" type="noConversion"/>
  </si>
  <si>
    <t>第5名放弃</t>
    <phoneticPr fontId="18" type="noConversion"/>
  </si>
  <si>
    <t>第3名放弃</t>
    <phoneticPr fontId="18" type="noConversion"/>
  </si>
  <si>
    <t>第1名放弃</t>
    <phoneticPr fontId="18" type="noConversion"/>
  </si>
  <si>
    <t>第1、2名放弃</t>
    <phoneticPr fontId="18" type="noConversion"/>
  </si>
  <si>
    <t>第6、7名放弃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</si>
</sst>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2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176" fontId="20" fillId="33" borderId="10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view="pageLayout" workbookViewId="0">
      <selection activeCell="H5" sqref="H5"/>
    </sheetView>
  </sheetViews>
  <sheetFormatPr defaultRowHeight="14.1" customHeight="1"/>
  <cols>
    <col min="1" max="1" width="5" customWidth="1"/>
    <col min="2" max="2" width="27.125" customWidth="1"/>
    <col min="3" max="3" width="13.875" customWidth="1"/>
    <col min="4" max="4" width="10.625" style="1" customWidth="1"/>
    <col min="5" max="5" width="12" bestFit="1" customWidth="1"/>
    <col min="6" max="6" width="19.375" customWidth="1"/>
  </cols>
  <sheetData>
    <row r="1" spans="1:6" ht="27.75" customHeight="1">
      <c r="A1" s="20" t="s">
        <v>343</v>
      </c>
      <c r="B1" s="20"/>
    </row>
    <row r="2" spans="1:6" ht="33.75" customHeight="1">
      <c r="A2" s="19" t="s">
        <v>342</v>
      </c>
      <c r="B2" s="19"/>
      <c r="C2" s="19"/>
      <c r="D2" s="19"/>
      <c r="E2" s="19"/>
      <c r="F2" s="19"/>
    </row>
    <row r="3" spans="1:6" ht="19.5" customHeight="1">
      <c r="A3" s="10" t="s">
        <v>333</v>
      </c>
      <c r="B3" s="10" t="s">
        <v>1</v>
      </c>
      <c r="C3" s="10" t="s">
        <v>33</v>
      </c>
      <c r="D3" s="12" t="s">
        <v>339</v>
      </c>
      <c r="E3" s="10" t="s">
        <v>340</v>
      </c>
      <c r="F3" s="10" t="s">
        <v>332</v>
      </c>
    </row>
    <row r="4" spans="1:6" ht="18.75" customHeight="1">
      <c r="A4" s="9">
        <v>1</v>
      </c>
      <c r="B4" s="2" t="s">
        <v>51</v>
      </c>
      <c r="C4" s="2" t="str">
        <f>"18002029617"</f>
        <v>18002029617</v>
      </c>
      <c r="D4" s="14">
        <v>77</v>
      </c>
      <c r="E4" s="2">
        <v>1</v>
      </c>
      <c r="F4" s="16"/>
    </row>
    <row r="5" spans="1:6" ht="18.75" customHeight="1">
      <c r="A5" s="9">
        <v>2</v>
      </c>
      <c r="B5" s="2" t="s">
        <v>51</v>
      </c>
      <c r="C5" s="2" t="str">
        <f>"18002029651"</f>
        <v>18002029651</v>
      </c>
      <c r="D5" s="14">
        <v>72.5</v>
      </c>
      <c r="E5" s="2">
        <v>2</v>
      </c>
      <c r="F5" s="17"/>
    </row>
    <row r="6" spans="1:6" ht="18.75" customHeight="1">
      <c r="A6" s="9">
        <v>3</v>
      </c>
      <c r="B6" s="2" t="s">
        <v>51</v>
      </c>
      <c r="C6" s="2" t="str">
        <f>"18002029649"</f>
        <v>18002029649</v>
      </c>
      <c r="D6" s="14">
        <v>72</v>
      </c>
      <c r="E6" s="2">
        <v>3</v>
      </c>
      <c r="F6" s="17"/>
    </row>
    <row r="7" spans="1:6" ht="18.75" customHeight="1">
      <c r="A7" s="9">
        <v>4</v>
      </c>
      <c r="B7" s="2" t="s">
        <v>51</v>
      </c>
      <c r="C7" s="2" t="str">
        <f>"18002029661"</f>
        <v>18002029661</v>
      </c>
      <c r="D7" s="14">
        <v>71</v>
      </c>
      <c r="E7" s="2">
        <v>4</v>
      </c>
      <c r="F7" s="17"/>
    </row>
    <row r="8" spans="1:6" ht="18.75" customHeight="1">
      <c r="A8" s="9">
        <v>5</v>
      </c>
      <c r="B8" s="2" t="s">
        <v>51</v>
      </c>
      <c r="C8" s="2" t="str">
        <f>"18002029631"</f>
        <v>18002029631</v>
      </c>
      <c r="D8" s="14">
        <v>71</v>
      </c>
      <c r="E8" s="2">
        <v>4</v>
      </c>
      <c r="F8" s="17"/>
    </row>
    <row r="9" spans="1:6" ht="18.75" customHeight="1">
      <c r="A9" s="9">
        <v>6</v>
      </c>
      <c r="B9" s="2" t="s">
        <v>51</v>
      </c>
      <c r="C9" s="2" t="str">
        <f>"18002029633"</f>
        <v>18002029633</v>
      </c>
      <c r="D9" s="14">
        <v>69</v>
      </c>
      <c r="E9" s="2">
        <v>6</v>
      </c>
      <c r="F9" s="17"/>
    </row>
    <row r="10" spans="1:6" ht="18.75" customHeight="1">
      <c r="A10" s="9">
        <v>7</v>
      </c>
      <c r="B10" s="2" t="s">
        <v>51</v>
      </c>
      <c r="C10" s="2" t="str">
        <f>"18002029663"</f>
        <v>18002029663</v>
      </c>
      <c r="D10" s="14">
        <v>68.5</v>
      </c>
      <c r="E10" s="2">
        <v>7</v>
      </c>
      <c r="F10" s="17"/>
    </row>
    <row r="11" spans="1:6" ht="18.75" customHeight="1">
      <c r="A11" s="9">
        <v>8</v>
      </c>
      <c r="B11" s="2" t="s">
        <v>51</v>
      </c>
      <c r="C11" s="2" t="str">
        <f>"18002029668"</f>
        <v>18002029668</v>
      </c>
      <c r="D11" s="14">
        <v>68.5</v>
      </c>
      <c r="E11" s="2">
        <v>7</v>
      </c>
      <c r="F11" s="17"/>
    </row>
    <row r="12" spans="1:6" ht="18.75" customHeight="1">
      <c r="A12" s="9">
        <v>9</v>
      </c>
      <c r="B12" s="2" t="s">
        <v>51</v>
      </c>
      <c r="C12" s="2" t="str">
        <f>"18002029636"</f>
        <v>18002029636</v>
      </c>
      <c r="D12" s="14">
        <v>67</v>
      </c>
      <c r="E12" s="2">
        <v>9</v>
      </c>
      <c r="F12" s="18"/>
    </row>
    <row r="13" spans="1:6" ht="18.75" customHeight="1">
      <c r="A13" s="9">
        <v>10</v>
      </c>
      <c r="B13" s="2" t="s">
        <v>47</v>
      </c>
      <c r="C13" s="2" t="str">
        <f>"18002028310"</f>
        <v>18002028310</v>
      </c>
      <c r="D13" s="14">
        <v>78.5</v>
      </c>
      <c r="E13" s="2">
        <v>1</v>
      </c>
      <c r="F13" s="16" t="s">
        <v>344</v>
      </c>
    </row>
    <row r="14" spans="1:6" ht="18.75" customHeight="1">
      <c r="A14" s="9">
        <v>11</v>
      </c>
      <c r="B14" s="2" t="s">
        <v>47</v>
      </c>
      <c r="C14" s="2" t="str">
        <f>"18002029412"</f>
        <v>18002029412</v>
      </c>
      <c r="D14" s="14">
        <v>74.5</v>
      </c>
      <c r="E14" s="2">
        <v>2</v>
      </c>
      <c r="F14" s="17"/>
    </row>
    <row r="15" spans="1:6" ht="18.75" customHeight="1">
      <c r="A15" s="9">
        <v>12</v>
      </c>
      <c r="B15" s="2" t="s">
        <v>47</v>
      </c>
      <c r="C15" s="2" t="str">
        <f>"18002028319"</f>
        <v>18002028319</v>
      </c>
      <c r="D15" s="14">
        <v>72</v>
      </c>
      <c r="E15" s="2">
        <v>3</v>
      </c>
      <c r="F15" s="17"/>
    </row>
    <row r="16" spans="1:6" ht="18.75" customHeight="1">
      <c r="A16" s="9">
        <v>13</v>
      </c>
      <c r="B16" s="2" t="s">
        <v>47</v>
      </c>
      <c r="C16" s="2" t="str">
        <f>"18002028303"</f>
        <v>18002028303</v>
      </c>
      <c r="D16" s="14">
        <v>70</v>
      </c>
      <c r="E16" s="2">
        <v>5</v>
      </c>
      <c r="F16" s="17"/>
    </row>
    <row r="17" spans="1:6" ht="18.75" customHeight="1">
      <c r="A17" s="9">
        <v>14</v>
      </c>
      <c r="B17" s="2" t="s">
        <v>47</v>
      </c>
      <c r="C17" s="2" t="str">
        <f>"18002028216"</f>
        <v>18002028216</v>
      </c>
      <c r="D17" s="14">
        <v>67.5</v>
      </c>
      <c r="E17" s="2">
        <v>6</v>
      </c>
      <c r="F17" s="17"/>
    </row>
    <row r="18" spans="1:6" ht="18.75" customHeight="1">
      <c r="A18" s="9">
        <v>15</v>
      </c>
      <c r="B18" s="2" t="s">
        <v>47</v>
      </c>
      <c r="C18" s="2" t="str">
        <f>"18002028423"</f>
        <v>18002028423</v>
      </c>
      <c r="D18" s="14">
        <v>66.5</v>
      </c>
      <c r="E18" s="2">
        <v>7</v>
      </c>
      <c r="F18" s="17"/>
    </row>
    <row r="19" spans="1:6" ht="18.75" customHeight="1">
      <c r="A19" s="9">
        <v>16</v>
      </c>
      <c r="B19" s="2" t="s">
        <v>47</v>
      </c>
      <c r="C19" s="2" t="str">
        <f>"18002028229"</f>
        <v>18002028229</v>
      </c>
      <c r="D19" s="14">
        <v>65.5</v>
      </c>
      <c r="E19" s="2">
        <v>8</v>
      </c>
      <c r="F19" s="17"/>
    </row>
    <row r="20" spans="1:6" ht="18.75" customHeight="1">
      <c r="A20" s="9">
        <v>17</v>
      </c>
      <c r="B20" s="2" t="s">
        <v>47</v>
      </c>
      <c r="C20" s="2" t="str">
        <f>"18002028219"</f>
        <v>18002028219</v>
      </c>
      <c r="D20" s="14">
        <v>65.5</v>
      </c>
      <c r="E20" s="2">
        <v>8</v>
      </c>
      <c r="F20" s="17"/>
    </row>
    <row r="21" spans="1:6" ht="18.75" customHeight="1">
      <c r="A21" s="9">
        <v>18</v>
      </c>
      <c r="B21" s="13" t="s">
        <v>47</v>
      </c>
      <c r="C21" s="13" t="str">
        <f>"18002028228"</f>
        <v>18002028228</v>
      </c>
      <c r="D21" s="15">
        <v>65</v>
      </c>
      <c r="E21" s="13">
        <v>10</v>
      </c>
      <c r="F21" s="17"/>
    </row>
    <row r="22" spans="1:6" ht="18.75" customHeight="1">
      <c r="A22" s="9">
        <v>19</v>
      </c>
      <c r="B22" s="13" t="s">
        <v>47</v>
      </c>
      <c r="C22" s="13" t="str">
        <f>"18002028414"</f>
        <v>18002028414</v>
      </c>
      <c r="D22" s="15">
        <v>65</v>
      </c>
      <c r="E22" s="13">
        <v>10</v>
      </c>
      <c r="F22" s="18"/>
    </row>
    <row r="23" spans="1:6" ht="18.75" customHeight="1">
      <c r="A23" s="9">
        <v>20</v>
      </c>
      <c r="B23" s="2" t="s">
        <v>44</v>
      </c>
      <c r="C23" s="2" t="str">
        <f>"18002028709"</f>
        <v>18002028709</v>
      </c>
      <c r="D23" s="14">
        <v>86</v>
      </c>
      <c r="E23" s="2">
        <v>1</v>
      </c>
      <c r="F23" s="16" t="s">
        <v>345</v>
      </c>
    </row>
    <row r="24" spans="1:6" ht="18.75" customHeight="1">
      <c r="A24" s="9">
        <v>21</v>
      </c>
      <c r="B24" s="2" t="s">
        <v>44</v>
      </c>
      <c r="C24" s="2" t="str">
        <f>"18002028714"</f>
        <v>18002028714</v>
      </c>
      <c r="D24" s="14">
        <v>84.5</v>
      </c>
      <c r="E24" s="2">
        <v>2</v>
      </c>
      <c r="F24" s="17"/>
    </row>
    <row r="25" spans="1:6" ht="18.75" customHeight="1">
      <c r="A25" s="9">
        <v>22</v>
      </c>
      <c r="B25" s="2" t="s">
        <v>44</v>
      </c>
      <c r="C25" s="2" t="str">
        <f>"18002028512"</f>
        <v>18002028512</v>
      </c>
      <c r="D25" s="14">
        <v>81</v>
      </c>
      <c r="E25" s="2">
        <v>3</v>
      </c>
      <c r="F25" s="17"/>
    </row>
    <row r="26" spans="1:6" ht="18.75" customHeight="1">
      <c r="A26" s="9">
        <v>23</v>
      </c>
      <c r="B26" s="2" t="s">
        <v>44</v>
      </c>
      <c r="C26" s="2" t="str">
        <f>"18002028521"</f>
        <v>18002028521</v>
      </c>
      <c r="D26" s="14">
        <v>80</v>
      </c>
      <c r="E26" s="2">
        <v>4</v>
      </c>
      <c r="F26" s="17"/>
    </row>
    <row r="27" spans="1:6" ht="18.75" customHeight="1">
      <c r="A27" s="9">
        <v>24</v>
      </c>
      <c r="B27" s="2" t="s">
        <v>44</v>
      </c>
      <c r="C27" s="2" t="str">
        <f>"18002028603"</f>
        <v>18002028603</v>
      </c>
      <c r="D27" s="14">
        <v>79.5</v>
      </c>
      <c r="E27" s="2">
        <v>6</v>
      </c>
      <c r="F27" s="17"/>
    </row>
    <row r="28" spans="1:6" ht="18.75" customHeight="1">
      <c r="A28" s="9">
        <v>25</v>
      </c>
      <c r="B28" s="13" t="s">
        <v>44</v>
      </c>
      <c r="C28" s="13" t="str">
        <f>"18002028518"</f>
        <v>18002028518</v>
      </c>
      <c r="D28" s="15">
        <v>78.5</v>
      </c>
      <c r="E28" s="13">
        <v>8</v>
      </c>
      <c r="F28" s="17"/>
    </row>
    <row r="29" spans="1:6" ht="18.75" customHeight="1">
      <c r="A29" s="9">
        <v>26</v>
      </c>
      <c r="B29" s="13" t="s">
        <v>44</v>
      </c>
      <c r="C29" s="13" t="str">
        <f>"18002028722"</f>
        <v>18002028722</v>
      </c>
      <c r="D29" s="15">
        <v>78.5</v>
      </c>
      <c r="E29" s="13">
        <v>8</v>
      </c>
      <c r="F29" s="18"/>
    </row>
    <row r="30" spans="1:6" ht="18.75" customHeight="1">
      <c r="A30" s="9">
        <v>27</v>
      </c>
      <c r="B30" s="2" t="s">
        <v>227</v>
      </c>
      <c r="C30" s="2" t="str">
        <f>"18002020111"</f>
        <v>18002020111</v>
      </c>
      <c r="D30" s="14">
        <v>72.45</v>
      </c>
      <c r="E30" s="2">
        <v>1</v>
      </c>
      <c r="F30" s="16" t="s">
        <v>346</v>
      </c>
    </row>
    <row r="31" spans="1:6" ht="18.75" customHeight="1">
      <c r="A31" s="9">
        <v>28</v>
      </c>
      <c r="B31" s="2" t="s">
        <v>227</v>
      </c>
      <c r="C31" s="2" t="str">
        <f>"18002020105"</f>
        <v>18002020105</v>
      </c>
      <c r="D31" s="14">
        <v>68.650000000000006</v>
      </c>
      <c r="E31" s="2">
        <v>2</v>
      </c>
      <c r="F31" s="18"/>
    </row>
    <row r="32" spans="1:6" ht="18.75" customHeight="1">
      <c r="A32" s="9">
        <v>29</v>
      </c>
      <c r="B32" s="2" t="s">
        <v>63</v>
      </c>
      <c r="C32" s="2" t="str">
        <f>"18002028811"</f>
        <v>18002028811</v>
      </c>
      <c r="D32" s="14">
        <v>88</v>
      </c>
      <c r="E32" s="2">
        <v>1</v>
      </c>
      <c r="F32" s="16" t="s">
        <v>346</v>
      </c>
    </row>
    <row r="33" spans="1:6" ht="18.75" customHeight="1">
      <c r="A33" s="9">
        <v>30</v>
      </c>
      <c r="B33" s="2" t="s">
        <v>63</v>
      </c>
      <c r="C33" s="2" t="str">
        <f>"18002028820"</f>
        <v>18002028820</v>
      </c>
      <c r="D33" s="14">
        <v>86.5</v>
      </c>
      <c r="E33" s="2">
        <v>2</v>
      </c>
      <c r="F33" s="18"/>
    </row>
    <row r="34" spans="1:6" ht="18.75" customHeight="1">
      <c r="A34" s="9">
        <v>31</v>
      </c>
      <c r="B34" s="2" t="s">
        <v>231</v>
      </c>
      <c r="C34" s="2" t="str">
        <f>"18002020119"</f>
        <v>18002020119</v>
      </c>
      <c r="D34" s="14">
        <v>71.099999999999994</v>
      </c>
      <c r="E34" s="2">
        <v>1</v>
      </c>
      <c r="F34" s="16" t="s">
        <v>344</v>
      </c>
    </row>
    <row r="35" spans="1:6" ht="18.75" customHeight="1">
      <c r="A35" s="9">
        <v>32</v>
      </c>
      <c r="B35" s="2" t="s">
        <v>231</v>
      </c>
      <c r="C35" s="2" t="str">
        <f>"18002020205"</f>
        <v>18002020205</v>
      </c>
      <c r="D35" s="14">
        <v>68.25</v>
      </c>
      <c r="E35" s="2">
        <v>2</v>
      </c>
      <c r="F35" s="17"/>
    </row>
    <row r="36" spans="1:6" ht="18.75" customHeight="1">
      <c r="A36" s="9">
        <v>33</v>
      </c>
      <c r="B36" s="2" t="s">
        <v>231</v>
      </c>
      <c r="C36" s="2" t="str">
        <f>"18002020203"</f>
        <v>18002020203</v>
      </c>
      <c r="D36" s="14">
        <v>67.45</v>
      </c>
      <c r="E36" s="2">
        <v>3</v>
      </c>
      <c r="F36" s="18"/>
    </row>
    <row r="37" spans="1:6" ht="18.75" customHeight="1">
      <c r="A37" s="9">
        <v>34</v>
      </c>
      <c r="B37" s="2" t="s">
        <v>235</v>
      </c>
      <c r="C37" s="2" t="str">
        <f>"18002020304"</f>
        <v>18002020304</v>
      </c>
      <c r="D37" s="14">
        <v>71.7</v>
      </c>
      <c r="E37" s="2">
        <v>1</v>
      </c>
      <c r="F37" s="16"/>
    </row>
    <row r="38" spans="1:6" ht="18.75" customHeight="1">
      <c r="A38" s="9">
        <v>35</v>
      </c>
      <c r="B38" s="2" t="s">
        <v>235</v>
      </c>
      <c r="C38" s="2" t="str">
        <f>"18002020307"</f>
        <v>18002020307</v>
      </c>
      <c r="D38" s="14">
        <v>70.5</v>
      </c>
      <c r="E38" s="2">
        <v>2</v>
      </c>
      <c r="F38" s="17"/>
    </row>
    <row r="39" spans="1:6" ht="18.75" customHeight="1">
      <c r="A39" s="9">
        <v>36</v>
      </c>
      <c r="B39" s="2" t="s">
        <v>235</v>
      </c>
      <c r="C39" s="2" t="str">
        <f>"18002020308"</f>
        <v>18002020308</v>
      </c>
      <c r="D39" s="14">
        <v>69.3</v>
      </c>
      <c r="E39" s="2">
        <v>3</v>
      </c>
      <c r="F39" s="18"/>
    </row>
    <row r="40" spans="1:6" ht="18.75" customHeight="1">
      <c r="A40" s="9">
        <v>37</v>
      </c>
      <c r="B40" s="2" t="s">
        <v>238</v>
      </c>
      <c r="C40" s="2" t="str">
        <f>"18002020320"</f>
        <v>18002020320</v>
      </c>
      <c r="D40" s="14">
        <v>70.25</v>
      </c>
      <c r="E40" s="2">
        <v>1</v>
      </c>
      <c r="F40" s="16"/>
    </row>
    <row r="41" spans="1:6" ht="18.75" customHeight="1">
      <c r="A41" s="9">
        <v>38</v>
      </c>
      <c r="B41" s="2" t="s">
        <v>238</v>
      </c>
      <c r="C41" s="2" t="str">
        <f>"18002020419"</f>
        <v>18002020419</v>
      </c>
      <c r="D41" s="14">
        <v>67.05</v>
      </c>
      <c r="E41" s="2">
        <v>2</v>
      </c>
      <c r="F41" s="17"/>
    </row>
    <row r="42" spans="1:6" ht="18.75" customHeight="1">
      <c r="A42" s="9">
        <v>39</v>
      </c>
      <c r="B42" s="2" t="s">
        <v>238</v>
      </c>
      <c r="C42" s="2" t="str">
        <f>"18002020414"</f>
        <v>18002020414</v>
      </c>
      <c r="D42" s="14">
        <v>66.55</v>
      </c>
      <c r="E42" s="2">
        <v>3</v>
      </c>
      <c r="F42" s="17"/>
    </row>
    <row r="43" spans="1:6" ht="18.75" customHeight="1">
      <c r="A43" s="9">
        <v>40</v>
      </c>
      <c r="B43" s="2" t="s">
        <v>238</v>
      </c>
      <c r="C43" s="2" t="str">
        <f>"18002020411"</f>
        <v>18002020411</v>
      </c>
      <c r="D43" s="14">
        <v>65.45</v>
      </c>
      <c r="E43" s="2">
        <v>4</v>
      </c>
      <c r="F43" s="17"/>
    </row>
    <row r="44" spans="1:6" ht="18.75" customHeight="1">
      <c r="A44" s="9">
        <v>41</v>
      </c>
      <c r="B44" s="2" t="s">
        <v>238</v>
      </c>
      <c r="C44" s="2" t="str">
        <f>"18002020326"</f>
        <v>18002020326</v>
      </c>
      <c r="D44" s="14">
        <v>63.8</v>
      </c>
      <c r="E44" s="2">
        <v>5</v>
      </c>
      <c r="F44" s="17"/>
    </row>
    <row r="45" spans="1:6" ht="18.75" customHeight="1">
      <c r="A45" s="9">
        <v>42</v>
      </c>
      <c r="B45" s="2" t="s">
        <v>238</v>
      </c>
      <c r="C45" s="2" t="str">
        <f>"18002020410"</f>
        <v>18002020410</v>
      </c>
      <c r="D45" s="14">
        <v>63.8</v>
      </c>
      <c r="E45" s="2">
        <v>5</v>
      </c>
      <c r="F45" s="18"/>
    </row>
    <row r="46" spans="1:6" ht="18.75" customHeight="1">
      <c r="A46" s="9">
        <v>43</v>
      </c>
      <c r="B46" s="2" t="s">
        <v>243</v>
      </c>
      <c r="C46" s="2" t="str">
        <f>"18002020805"</f>
        <v>18002020805</v>
      </c>
      <c r="D46" s="14">
        <v>74.55</v>
      </c>
      <c r="E46" s="2">
        <v>1</v>
      </c>
      <c r="F46" s="16"/>
    </row>
    <row r="47" spans="1:6" ht="18.75" customHeight="1">
      <c r="A47" s="9">
        <v>44</v>
      </c>
      <c r="B47" s="2" t="s">
        <v>243</v>
      </c>
      <c r="C47" s="2" t="str">
        <f>"18002020616"</f>
        <v>18002020616</v>
      </c>
      <c r="D47" s="14">
        <v>74.3</v>
      </c>
      <c r="E47" s="2">
        <v>2</v>
      </c>
      <c r="F47" s="17"/>
    </row>
    <row r="48" spans="1:6" ht="18.75" customHeight="1">
      <c r="A48" s="9">
        <v>45</v>
      </c>
      <c r="B48" s="2" t="s">
        <v>243</v>
      </c>
      <c r="C48" s="2" t="str">
        <f>"18002020816"</f>
        <v>18002020816</v>
      </c>
      <c r="D48" s="14">
        <v>72.7</v>
      </c>
      <c r="E48" s="2">
        <v>3</v>
      </c>
      <c r="F48" s="18"/>
    </row>
    <row r="49" spans="1:6" ht="18.75" customHeight="1">
      <c r="A49" s="9">
        <v>46</v>
      </c>
      <c r="B49" s="2" t="s">
        <v>248</v>
      </c>
      <c r="C49" s="2" t="str">
        <f>"18002020904"</f>
        <v>18002020904</v>
      </c>
      <c r="D49" s="14">
        <v>73.75</v>
      </c>
      <c r="E49" s="2">
        <v>1</v>
      </c>
      <c r="F49" s="16"/>
    </row>
    <row r="50" spans="1:6" ht="18.75" customHeight="1">
      <c r="A50" s="9">
        <v>47</v>
      </c>
      <c r="B50" s="2" t="s">
        <v>248</v>
      </c>
      <c r="C50" s="2" t="str">
        <f>"18002021115"</f>
        <v>18002021115</v>
      </c>
      <c r="D50" s="14">
        <v>73.45</v>
      </c>
      <c r="E50" s="2">
        <v>2</v>
      </c>
      <c r="F50" s="17"/>
    </row>
    <row r="51" spans="1:6" ht="18.75" customHeight="1">
      <c r="A51" s="9">
        <v>48</v>
      </c>
      <c r="B51" s="2" t="s">
        <v>248</v>
      </c>
      <c r="C51" s="2" t="str">
        <f>"18002021110"</f>
        <v>18002021110</v>
      </c>
      <c r="D51" s="14">
        <v>73.2</v>
      </c>
      <c r="E51" s="2">
        <v>3</v>
      </c>
      <c r="F51" s="18"/>
    </row>
    <row r="52" spans="1:6" ht="18.75" customHeight="1">
      <c r="A52" s="9">
        <v>49</v>
      </c>
      <c r="B52" s="2" t="s">
        <v>253</v>
      </c>
      <c r="C52" s="2" t="str">
        <f>"18002021324"</f>
        <v>18002021324</v>
      </c>
      <c r="D52" s="14">
        <v>71.400000000000006</v>
      </c>
      <c r="E52" s="2">
        <v>1</v>
      </c>
      <c r="F52" s="16"/>
    </row>
    <row r="53" spans="1:6" ht="18.75" customHeight="1">
      <c r="A53" s="9">
        <v>50</v>
      </c>
      <c r="B53" s="2" t="s">
        <v>253</v>
      </c>
      <c r="C53" s="2" t="str">
        <f>"18002021315"</f>
        <v>18002021315</v>
      </c>
      <c r="D53" s="14">
        <v>71</v>
      </c>
      <c r="E53" s="2">
        <v>2</v>
      </c>
      <c r="F53" s="17"/>
    </row>
    <row r="54" spans="1:6" ht="18.75" customHeight="1">
      <c r="A54" s="9">
        <v>51</v>
      </c>
      <c r="B54" s="2" t="s">
        <v>253</v>
      </c>
      <c r="C54" s="2" t="str">
        <f>"18002021406"</f>
        <v>18002021406</v>
      </c>
      <c r="D54" s="14">
        <v>70.5</v>
      </c>
      <c r="E54" s="2">
        <v>3</v>
      </c>
      <c r="F54" s="18"/>
    </row>
    <row r="55" spans="1:6" ht="18.75" customHeight="1">
      <c r="A55" s="9">
        <v>52</v>
      </c>
      <c r="B55" s="2" t="s">
        <v>258</v>
      </c>
      <c r="C55" s="2" t="str">
        <f>"18002021824"</f>
        <v>18002021824</v>
      </c>
      <c r="D55" s="14">
        <v>73.45</v>
      </c>
      <c r="E55" s="2">
        <v>1</v>
      </c>
      <c r="F55" s="16" t="s">
        <v>347</v>
      </c>
    </row>
    <row r="56" spans="1:6" ht="18.75" customHeight="1">
      <c r="A56" s="9">
        <v>53</v>
      </c>
      <c r="B56" s="2" t="s">
        <v>258</v>
      </c>
      <c r="C56" s="2" t="str">
        <f>"18002021917"</f>
        <v>18002021917</v>
      </c>
      <c r="D56" s="14">
        <v>73.05</v>
      </c>
      <c r="E56" s="2">
        <v>2</v>
      </c>
      <c r="F56" s="17"/>
    </row>
    <row r="57" spans="1:6" ht="18.75" customHeight="1">
      <c r="A57" s="9">
        <v>54</v>
      </c>
      <c r="B57" s="2" t="s">
        <v>258</v>
      </c>
      <c r="C57" s="2" t="str">
        <f>"18002021702"</f>
        <v>18002021702</v>
      </c>
      <c r="D57" s="14">
        <v>72.5</v>
      </c>
      <c r="E57" s="2">
        <v>3</v>
      </c>
      <c r="F57" s="17"/>
    </row>
    <row r="58" spans="1:6" ht="18.75" customHeight="1">
      <c r="A58" s="9">
        <v>55</v>
      </c>
      <c r="B58" s="2" t="s">
        <v>258</v>
      </c>
      <c r="C58" s="2" t="str">
        <f>"18002021502"</f>
        <v>18002021502</v>
      </c>
      <c r="D58" s="14">
        <v>72.150000000000006</v>
      </c>
      <c r="E58" s="2">
        <v>4</v>
      </c>
      <c r="F58" s="17"/>
    </row>
    <row r="59" spans="1:6" ht="18.75" customHeight="1">
      <c r="A59" s="9">
        <v>56</v>
      </c>
      <c r="B59" s="2" t="s">
        <v>258</v>
      </c>
      <c r="C59" s="2" t="str">
        <f>"18002021809"</f>
        <v>18002021809</v>
      </c>
      <c r="D59" s="14">
        <v>71.75</v>
      </c>
      <c r="E59" s="2">
        <v>6</v>
      </c>
      <c r="F59" s="17"/>
    </row>
    <row r="60" spans="1:6" ht="18.75" customHeight="1">
      <c r="A60" s="9">
        <v>57</v>
      </c>
      <c r="B60" s="13" t="s">
        <v>258</v>
      </c>
      <c r="C60" s="13" t="str">
        <f>"18002021429"</f>
        <v>18002021429</v>
      </c>
      <c r="D60" s="15">
        <v>71.55</v>
      </c>
      <c r="E60" s="13">
        <v>7</v>
      </c>
      <c r="F60" s="18"/>
    </row>
    <row r="61" spans="1:6" ht="18.75" customHeight="1">
      <c r="A61" s="9">
        <v>58</v>
      </c>
      <c r="B61" s="2" t="s">
        <v>265</v>
      </c>
      <c r="C61" s="2" t="str">
        <f>"18002022025"</f>
        <v>18002022025</v>
      </c>
      <c r="D61" s="14">
        <v>64.55</v>
      </c>
      <c r="E61" s="2">
        <v>1</v>
      </c>
      <c r="F61" s="16"/>
    </row>
    <row r="62" spans="1:6" ht="18.75" customHeight="1">
      <c r="A62" s="9">
        <v>59</v>
      </c>
      <c r="B62" s="2" t="s">
        <v>265</v>
      </c>
      <c r="C62" s="2" t="str">
        <f>"18002022018"</f>
        <v>18002022018</v>
      </c>
      <c r="D62" s="14">
        <v>62.05</v>
      </c>
      <c r="E62" s="2">
        <v>2</v>
      </c>
      <c r="F62" s="17"/>
    </row>
    <row r="63" spans="1:6" ht="18.75" customHeight="1">
      <c r="A63" s="9">
        <v>60</v>
      </c>
      <c r="B63" s="2" t="s">
        <v>265</v>
      </c>
      <c r="C63" s="2" t="str">
        <f>"18002022020"</f>
        <v>18002022020</v>
      </c>
      <c r="D63" s="14">
        <v>60.8</v>
      </c>
      <c r="E63" s="2">
        <v>3</v>
      </c>
      <c r="F63" s="18"/>
    </row>
    <row r="64" spans="1:6" ht="18.75" customHeight="1">
      <c r="A64" s="9">
        <v>61</v>
      </c>
      <c r="B64" s="2" t="s">
        <v>269</v>
      </c>
      <c r="C64" s="2" t="str">
        <f>"18002022114"</f>
        <v>18002022114</v>
      </c>
      <c r="D64" s="14">
        <v>68.5</v>
      </c>
      <c r="E64" s="2">
        <v>1</v>
      </c>
      <c r="F64" s="16" t="s">
        <v>348</v>
      </c>
    </row>
    <row r="65" spans="1:6" ht="18.75" customHeight="1">
      <c r="A65" s="9">
        <v>62</v>
      </c>
      <c r="B65" s="2" t="s">
        <v>269</v>
      </c>
      <c r="C65" s="2" t="str">
        <f>"18002022101"</f>
        <v>18002022101</v>
      </c>
      <c r="D65" s="14">
        <v>67.849999999999994</v>
      </c>
      <c r="E65" s="2">
        <v>2</v>
      </c>
      <c r="F65" s="17"/>
    </row>
    <row r="66" spans="1:6" ht="18.75" customHeight="1">
      <c r="A66" s="9">
        <v>63</v>
      </c>
      <c r="B66" s="13" t="s">
        <v>269</v>
      </c>
      <c r="C66" s="13" t="str">
        <f>"18002022113"</f>
        <v>18002022113</v>
      </c>
      <c r="D66" s="15">
        <v>63.05</v>
      </c>
      <c r="E66" s="13">
        <v>4</v>
      </c>
      <c r="F66" s="18"/>
    </row>
    <row r="67" spans="1:6" ht="18.75" customHeight="1">
      <c r="A67" s="9">
        <v>64</v>
      </c>
      <c r="B67" s="2" t="s">
        <v>273</v>
      </c>
      <c r="C67" s="2" t="str">
        <f>"18002022115"</f>
        <v>18002022115</v>
      </c>
      <c r="D67" s="14">
        <v>69.75</v>
      </c>
      <c r="E67" s="2">
        <v>1</v>
      </c>
      <c r="F67" s="16"/>
    </row>
    <row r="68" spans="1:6" ht="18.75" customHeight="1">
      <c r="A68" s="9">
        <v>65</v>
      </c>
      <c r="B68" s="2" t="s">
        <v>273</v>
      </c>
      <c r="C68" s="2" t="str">
        <f>"18002022117"</f>
        <v>18002022117</v>
      </c>
      <c r="D68" s="14">
        <v>65.5</v>
      </c>
      <c r="E68" s="2">
        <v>2</v>
      </c>
      <c r="F68" s="17"/>
    </row>
    <row r="69" spans="1:6" ht="18.75" customHeight="1">
      <c r="A69" s="9">
        <v>66</v>
      </c>
      <c r="B69" s="2" t="s">
        <v>273</v>
      </c>
      <c r="C69" s="2" t="str">
        <f>"18002022116"</f>
        <v>18002022116</v>
      </c>
      <c r="D69" s="14">
        <v>54.95</v>
      </c>
      <c r="E69" s="2">
        <v>3</v>
      </c>
      <c r="F69" s="18"/>
    </row>
    <row r="70" spans="1:6" ht="18.75" customHeight="1">
      <c r="A70" s="9">
        <v>67</v>
      </c>
      <c r="B70" s="2" t="s">
        <v>277</v>
      </c>
      <c r="C70" s="2" t="str">
        <f>"18002022219"</f>
        <v>18002022219</v>
      </c>
      <c r="D70" s="14">
        <v>72.25</v>
      </c>
      <c r="E70" s="2">
        <v>1</v>
      </c>
      <c r="F70" s="16"/>
    </row>
    <row r="71" spans="1:6" ht="18.75" customHeight="1">
      <c r="A71" s="9">
        <v>68</v>
      </c>
      <c r="B71" s="2" t="s">
        <v>277</v>
      </c>
      <c r="C71" s="2" t="str">
        <f>"18002022230"</f>
        <v>18002022230</v>
      </c>
      <c r="D71" s="14">
        <v>71.5</v>
      </c>
      <c r="E71" s="2">
        <v>2</v>
      </c>
      <c r="F71" s="17"/>
    </row>
    <row r="72" spans="1:6" ht="18.75" customHeight="1">
      <c r="A72" s="9">
        <v>69</v>
      </c>
      <c r="B72" s="2" t="s">
        <v>277</v>
      </c>
      <c r="C72" s="2" t="str">
        <f>"18002022128"</f>
        <v>18002022128</v>
      </c>
      <c r="D72" s="14">
        <v>71.45</v>
      </c>
      <c r="E72" s="2">
        <v>3</v>
      </c>
      <c r="F72" s="18"/>
    </row>
    <row r="73" spans="1:6" ht="18.75" customHeight="1">
      <c r="A73" s="9">
        <v>70</v>
      </c>
      <c r="B73" s="2" t="s">
        <v>279</v>
      </c>
      <c r="C73" s="2" t="str">
        <f>"18002022314"</f>
        <v>18002022314</v>
      </c>
      <c r="D73" s="14">
        <v>69.5</v>
      </c>
      <c r="E73" s="2">
        <v>1</v>
      </c>
      <c r="F73" s="16" t="s">
        <v>348</v>
      </c>
    </row>
    <row r="74" spans="1:6" ht="18.75" customHeight="1">
      <c r="A74" s="9">
        <v>71</v>
      </c>
      <c r="B74" s="2" t="s">
        <v>279</v>
      </c>
      <c r="C74" s="2" t="str">
        <f>"18002022322"</f>
        <v>18002022322</v>
      </c>
      <c r="D74" s="14">
        <v>65</v>
      </c>
      <c r="E74" s="2">
        <v>2</v>
      </c>
      <c r="F74" s="17"/>
    </row>
    <row r="75" spans="1:6" ht="18.75" customHeight="1">
      <c r="A75" s="9">
        <v>72</v>
      </c>
      <c r="B75" s="13" t="s">
        <v>279</v>
      </c>
      <c r="C75" s="13" t="str">
        <f>"18002022405"</f>
        <v>18002022405</v>
      </c>
      <c r="D75" s="15">
        <v>61.55</v>
      </c>
      <c r="E75" s="13">
        <v>4</v>
      </c>
      <c r="F75" s="18"/>
    </row>
    <row r="76" spans="1:6" ht="18.75" customHeight="1">
      <c r="A76" s="9">
        <v>73</v>
      </c>
      <c r="B76" s="2" t="s">
        <v>282</v>
      </c>
      <c r="C76" s="2" t="str">
        <f>"18002022415"</f>
        <v>18002022415</v>
      </c>
      <c r="D76" s="14">
        <v>77.05</v>
      </c>
      <c r="E76" s="2">
        <v>1</v>
      </c>
      <c r="F76" s="16"/>
    </row>
    <row r="77" spans="1:6" ht="18.75" customHeight="1">
      <c r="A77" s="9">
        <v>74</v>
      </c>
      <c r="B77" s="2" t="s">
        <v>282</v>
      </c>
      <c r="C77" s="2" t="str">
        <f>"18002022609"</f>
        <v>18002022609</v>
      </c>
      <c r="D77" s="14">
        <v>76.95</v>
      </c>
      <c r="E77" s="2">
        <v>2</v>
      </c>
      <c r="F77" s="17"/>
    </row>
    <row r="78" spans="1:6" ht="18.75" customHeight="1">
      <c r="A78" s="9">
        <v>75</v>
      </c>
      <c r="B78" s="2" t="s">
        <v>282</v>
      </c>
      <c r="C78" s="2" t="str">
        <f>"18002022611"</f>
        <v>18002022611</v>
      </c>
      <c r="D78" s="14">
        <v>74.45</v>
      </c>
      <c r="E78" s="2">
        <v>3</v>
      </c>
      <c r="F78" s="18"/>
    </row>
    <row r="79" spans="1:6" ht="18.75" customHeight="1">
      <c r="A79" s="9">
        <v>76</v>
      </c>
      <c r="B79" s="2" t="s">
        <v>118</v>
      </c>
      <c r="C79" s="2" t="str">
        <f>"18002010103"</f>
        <v>18002010103</v>
      </c>
      <c r="D79" s="14">
        <v>72.25</v>
      </c>
      <c r="E79" s="2">
        <v>1</v>
      </c>
      <c r="F79" s="16" t="s">
        <v>348</v>
      </c>
    </row>
    <row r="80" spans="1:6" ht="18.75" customHeight="1">
      <c r="A80" s="9">
        <v>77</v>
      </c>
      <c r="B80" s="2" t="s">
        <v>118</v>
      </c>
      <c r="C80" s="2" t="str">
        <f>"18002010115"</f>
        <v>18002010115</v>
      </c>
      <c r="D80" s="14">
        <v>69</v>
      </c>
      <c r="E80" s="2">
        <v>2</v>
      </c>
      <c r="F80" s="17"/>
    </row>
    <row r="81" spans="1:6" ht="18.75" customHeight="1">
      <c r="A81" s="9">
        <v>78</v>
      </c>
      <c r="B81" s="13" t="s">
        <v>118</v>
      </c>
      <c r="C81" s="13" t="str">
        <f>"18002010107"</f>
        <v>18002010107</v>
      </c>
      <c r="D81" s="15">
        <v>64.55</v>
      </c>
      <c r="E81" s="13">
        <v>4</v>
      </c>
      <c r="F81" s="18"/>
    </row>
    <row r="82" spans="1:6" ht="18.75" customHeight="1">
      <c r="A82" s="9">
        <v>79</v>
      </c>
      <c r="B82" s="2" t="s">
        <v>286</v>
      </c>
      <c r="C82" s="2" t="str">
        <f>"18002023003"</f>
        <v>18002023003</v>
      </c>
      <c r="D82" s="14">
        <v>74</v>
      </c>
      <c r="E82" s="2">
        <v>2</v>
      </c>
      <c r="F82" s="16" t="s">
        <v>349</v>
      </c>
    </row>
    <row r="83" spans="1:6" ht="18.75" customHeight="1">
      <c r="A83" s="9">
        <v>80</v>
      </c>
      <c r="B83" s="2" t="s">
        <v>286</v>
      </c>
      <c r="C83" s="2" t="str">
        <f>"18002022825"</f>
        <v>18002022825</v>
      </c>
      <c r="D83" s="14">
        <v>73.55</v>
      </c>
      <c r="E83" s="2">
        <v>3</v>
      </c>
      <c r="F83" s="17"/>
    </row>
    <row r="84" spans="1:6" ht="18.75" customHeight="1">
      <c r="A84" s="9">
        <v>81</v>
      </c>
      <c r="B84" s="2" t="s">
        <v>286</v>
      </c>
      <c r="C84" s="2" t="str">
        <f>"18002023006"</f>
        <v>18002023006</v>
      </c>
      <c r="D84" s="14">
        <v>72.849999999999994</v>
      </c>
      <c r="E84" s="2">
        <v>4</v>
      </c>
      <c r="F84" s="17"/>
    </row>
    <row r="85" spans="1:6" ht="18.75" customHeight="1">
      <c r="A85" s="9">
        <v>82</v>
      </c>
      <c r="B85" s="2" t="s">
        <v>286</v>
      </c>
      <c r="C85" s="2" t="str">
        <f>"18002023526"</f>
        <v>18002023526</v>
      </c>
      <c r="D85" s="14">
        <v>72.7</v>
      </c>
      <c r="E85" s="2">
        <v>5</v>
      </c>
      <c r="F85" s="17"/>
    </row>
    <row r="86" spans="1:6" ht="18.75" customHeight="1">
      <c r="A86" s="9">
        <v>83</v>
      </c>
      <c r="B86" s="2" t="s">
        <v>286</v>
      </c>
      <c r="C86" s="2" t="str">
        <f>"18002023013"</f>
        <v>18002023013</v>
      </c>
      <c r="D86" s="14">
        <v>72.45</v>
      </c>
      <c r="E86" s="2">
        <v>6</v>
      </c>
      <c r="F86" s="17"/>
    </row>
    <row r="87" spans="1:6" ht="18.75" customHeight="1">
      <c r="A87" s="9">
        <v>84</v>
      </c>
      <c r="B87" s="2" t="s">
        <v>286</v>
      </c>
      <c r="C87" s="2" t="str">
        <f>"18002023417"</f>
        <v>18002023417</v>
      </c>
      <c r="D87" s="14">
        <v>72.45</v>
      </c>
      <c r="E87" s="2">
        <v>6</v>
      </c>
      <c r="F87" s="18"/>
    </row>
    <row r="88" spans="1:6" ht="18.75" customHeight="1">
      <c r="A88" s="9">
        <v>85</v>
      </c>
      <c r="B88" s="2" t="s">
        <v>295</v>
      </c>
      <c r="C88" s="2" t="str">
        <f>"18002024005"</f>
        <v>18002024005</v>
      </c>
      <c r="D88" s="14">
        <v>76.650000000000006</v>
      </c>
      <c r="E88" s="2">
        <v>1</v>
      </c>
      <c r="F88" s="16"/>
    </row>
    <row r="89" spans="1:6" ht="18.75" customHeight="1">
      <c r="A89" s="9">
        <v>86</v>
      </c>
      <c r="B89" s="2" t="s">
        <v>295</v>
      </c>
      <c r="C89" s="2" t="str">
        <f>"18002024920"</f>
        <v>18002024920</v>
      </c>
      <c r="D89" s="14">
        <v>75.5</v>
      </c>
      <c r="E89" s="2">
        <v>2</v>
      </c>
      <c r="F89" s="17"/>
    </row>
    <row r="90" spans="1:6" ht="18.75" customHeight="1">
      <c r="A90" s="9">
        <v>87</v>
      </c>
      <c r="B90" s="2" t="s">
        <v>295</v>
      </c>
      <c r="C90" s="2" t="str">
        <f>"18002024328"</f>
        <v>18002024328</v>
      </c>
      <c r="D90" s="14">
        <v>73.099999999999994</v>
      </c>
      <c r="E90" s="2">
        <v>3</v>
      </c>
      <c r="F90" s="17"/>
    </row>
    <row r="91" spans="1:6" ht="18.75" customHeight="1">
      <c r="A91" s="9">
        <v>88</v>
      </c>
      <c r="B91" s="2" t="s">
        <v>295</v>
      </c>
      <c r="C91" s="2" t="str">
        <f>"18002024317"</f>
        <v>18002024317</v>
      </c>
      <c r="D91" s="14">
        <v>72.95</v>
      </c>
      <c r="E91" s="2">
        <v>4</v>
      </c>
      <c r="F91" s="17"/>
    </row>
    <row r="92" spans="1:6" ht="18.75" customHeight="1">
      <c r="A92" s="9">
        <v>89</v>
      </c>
      <c r="B92" s="2" t="s">
        <v>295</v>
      </c>
      <c r="C92" s="2" t="str">
        <f>"18002024725"</f>
        <v>18002024725</v>
      </c>
      <c r="D92" s="14">
        <v>72.8</v>
      </c>
      <c r="E92" s="2">
        <v>5</v>
      </c>
      <c r="F92" s="17"/>
    </row>
    <row r="93" spans="1:6" ht="18.75" customHeight="1">
      <c r="A93" s="9">
        <v>90</v>
      </c>
      <c r="B93" s="2" t="s">
        <v>295</v>
      </c>
      <c r="C93" s="2" t="str">
        <f>"18002024726"</f>
        <v>18002024726</v>
      </c>
      <c r="D93" s="14">
        <v>72.7</v>
      </c>
      <c r="E93" s="2">
        <v>6</v>
      </c>
      <c r="F93" s="18"/>
    </row>
    <row r="94" spans="1:6" ht="18.75" customHeight="1">
      <c r="A94" s="9">
        <v>91</v>
      </c>
      <c r="B94" s="2" t="s">
        <v>299</v>
      </c>
      <c r="C94" s="2" t="str">
        <f>"18002025424"</f>
        <v>18002025424</v>
      </c>
      <c r="D94" s="14">
        <v>80.05</v>
      </c>
      <c r="E94" s="2">
        <v>1</v>
      </c>
      <c r="F94" s="16"/>
    </row>
    <row r="95" spans="1:6" ht="18.75" customHeight="1">
      <c r="A95" s="9">
        <v>92</v>
      </c>
      <c r="B95" s="2" t="s">
        <v>299</v>
      </c>
      <c r="C95" s="2" t="str">
        <f>"18002025230"</f>
        <v>18002025230</v>
      </c>
      <c r="D95" s="14">
        <v>75.2</v>
      </c>
      <c r="E95" s="2">
        <v>2</v>
      </c>
      <c r="F95" s="17"/>
    </row>
    <row r="96" spans="1:6" ht="18.75" customHeight="1">
      <c r="A96" s="9">
        <v>93</v>
      </c>
      <c r="B96" s="2" t="s">
        <v>299</v>
      </c>
      <c r="C96" s="2" t="str">
        <f>"18002025625"</f>
        <v>18002025625</v>
      </c>
      <c r="D96" s="14">
        <v>73.400000000000006</v>
      </c>
      <c r="E96" s="2">
        <v>3</v>
      </c>
      <c r="F96" s="17"/>
    </row>
    <row r="97" spans="1:6" ht="18.75" customHeight="1">
      <c r="A97" s="9">
        <v>94</v>
      </c>
      <c r="B97" s="2" t="s">
        <v>299</v>
      </c>
      <c r="C97" s="2" t="str">
        <f>"18002025506"</f>
        <v>18002025506</v>
      </c>
      <c r="D97" s="14">
        <v>73.2</v>
      </c>
      <c r="E97" s="2">
        <v>4</v>
      </c>
      <c r="F97" s="17"/>
    </row>
    <row r="98" spans="1:6" ht="18.75" customHeight="1">
      <c r="A98" s="9">
        <v>95</v>
      </c>
      <c r="B98" s="2" t="s">
        <v>299</v>
      </c>
      <c r="C98" s="2" t="str">
        <f>"18002025125"</f>
        <v>18002025125</v>
      </c>
      <c r="D98" s="14">
        <v>73.099999999999994</v>
      </c>
      <c r="E98" s="2">
        <v>5</v>
      </c>
      <c r="F98" s="17"/>
    </row>
    <row r="99" spans="1:6" ht="18.75" customHeight="1">
      <c r="A99" s="9">
        <v>96</v>
      </c>
      <c r="B99" s="2" t="s">
        <v>299</v>
      </c>
      <c r="C99" s="2" t="str">
        <f>"18002025217"</f>
        <v>18002025217</v>
      </c>
      <c r="D99" s="14">
        <v>72.849999999999994</v>
      </c>
      <c r="E99" s="2">
        <v>6</v>
      </c>
      <c r="F99" s="18"/>
    </row>
    <row r="100" spans="1:6" ht="18.75" customHeight="1">
      <c r="A100" s="9">
        <v>97</v>
      </c>
      <c r="B100" s="2" t="s">
        <v>306</v>
      </c>
      <c r="C100" s="2" t="str">
        <f>"18002026414"</f>
        <v>18002026414</v>
      </c>
      <c r="D100" s="14">
        <v>79.7</v>
      </c>
      <c r="E100" s="2">
        <v>1</v>
      </c>
      <c r="F100" s="16"/>
    </row>
    <row r="101" spans="1:6" ht="18.75" customHeight="1">
      <c r="A101" s="9">
        <v>98</v>
      </c>
      <c r="B101" s="2" t="s">
        <v>306</v>
      </c>
      <c r="C101" s="2" t="str">
        <f>"18002026304"</f>
        <v>18002026304</v>
      </c>
      <c r="D101" s="14">
        <v>74.7</v>
      </c>
      <c r="E101" s="2">
        <v>2</v>
      </c>
      <c r="F101" s="17"/>
    </row>
    <row r="102" spans="1:6" ht="18.75" customHeight="1">
      <c r="A102" s="9">
        <v>99</v>
      </c>
      <c r="B102" s="2" t="s">
        <v>306</v>
      </c>
      <c r="C102" s="2" t="str">
        <f>"18002026501"</f>
        <v>18002026501</v>
      </c>
      <c r="D102" s="14">
        <v>74.349999999999994</v>
      </c>
      <c r="E102" s="2">
        <v>3</v>
      </c>
      <c r="F102" s="17"/>
    </row>
    <row r="103" spans="1:6" ht="18.75" customHeight="1">
      <c r="A103" s="9">
        <v>100</v>
      </c>
      <c r="B103" s="2" t="s">
        <v>306</v>
      </c>
      <c r="C103" s="2" t="str">
        <f>"18002026401"</f>
        <v>18002026401</v>
      </c>
      <c r="D103" s="14">
        <v>73.349999999999994</v>
      </c>
      <c r="E103" s="2">
        <v>4</v>
      </c>
      <c r="F103" s="17"/>
    </row>
    <row r="104" spans="1:6" ht="18.75" customHeight="1">
      <c r="A104" s="9">
        <v>101</v>
      </c>
      <c r="B104" s="2" t="s">
        <v>306</v>
      </c>
      <c r="C104" s="2" t="str">
        <f>"18002026114"</f>
        <v>18002026114</v>
      </c>
      <c r="D104" s="14">
        <v>72.099999999999994</v>
      </c>
      <c r="E104" s="2">
        <v>5</v>
      </c>
      <c r="F104" s="17"/>
    </row>
    <row r="105" spans="1:6" ht="18.75" customHeight="1">
      <c r="A105" s="9">
        <v>102</v>
      </c>
      <c r="B105" s="2" t="s">
        <v>306</v>
      </c>
      <c r="C105" s="2" t="str">
        <f>"18002025714"</f>
        <v>18002025714</v>
      </c>
      <c r="D105" s="14">
        <v>72</v>
      </c>
      <c r="E105" s="2">
        <v>6</v>
      </c>
      <c r="F105" s="18"/>
    </row>
    <row r="106" spans="1:6" ht="18.75" customHeight="1">
      <c r="A106" s="9">
        <v>103</v>
      </c>
      <c r="B106" s="2" t="s">
        <v>312</v>
      </c>
      <c r="C106" s="2" t="str">
        <f>"18002026609"</f>
        <v>18002026609</v>
      </c>
      <c r="D106" s="14">
        <v>73</v>
      </c>
      <c r="E106" s="2">
        <v>1</v>
      </c>
      <c r="F106" s="16"/>
    </row>
    <row r="107" spans="1:6" ht="18.75" customHeight="1">
      <c r="A107" s="9">
        <v>104</v>
      </c>
      <c r="B107" s="2" t="s">
        <v>312</v>
      </c>
      <c r="C107" s="2" t="str">
        <f>"18002026619"</f>
        <v>18002026619</v>
      </c>
      <c r="D107" s="14">
        <v>72</v>
      </c>
      <c r="E107" s="2">
        <v>2</v>
      </c>
      <c r="F107" s="17"/>
    </row>
    <row r="108" spans="1:6" ht="18.75" customHeight="1">
      <c r="A108" s="9">
        <v>105</v>
      </c>
      <c r="B108" s="2" t="s">
        <v>312</v>
      </c>
      <c r="C108" s="2" t="str">
        <f>"18002026717"</f>
        <v>18002026717</v>
      </c>
      <c r="D108" s="14">
        <v>71.900000000000006</v>
      </c>
      <c r="E108" s="2">
        <v>3</v>
      </c>
      <c r="F108" s="18"/>
    </row>
    <row r="109" spans="1:6" ht="18.75" customHeight="1">
      <c r="A109" s="9">
        <v>106</v>
      </c>
      <c r="B109" s="2" t="s">
        <v>316</v>
      </c>
      <c r="C109" s="2" t="str">
        <f>"18002027103"</f>
        <v>18002027103</v>
      </c>
      <c r="D109" s="14">
        <v>78.05</v>
      </c>
      <c r="E109" s="2">
        <v>1</v>
      </c>
      <c r="F109" s="16"/>
    </row>
    <row r="110" spans="1:6" ht="18.75" customHeight="1">
      <c r="A110" s="9">
        <v>107</v>
      </c>
      <c r="B110" s="2" t="s">
        <v>316</v>
      </c>
      <c r="C110" s="2" t="str">
        <f>"18002027115"</f>
        <v>18002027115</v>
      </c>
      <c r="D110" s="14">
        <v>70.900000000000006</v>
      </c>
      <c r="E110" s="2">
        <v>2</v>
      </c>
      <c r="F110" s="17"/>
    </row>
    <row r="111" spans="1:6" ht="18.75" customHeight="1">
      <c r="A111" s="9">
        <v>108</v>
      </c>
      <c r="B111" s="2" t="s">
        <v>316</v>
      </c>
      <c r="C111" s="2" t="str">
        <f>"18002027101"</f>
        <v>18002027101</v>
      </c>
      <c r="D111" s="14">
        <v>70.349999999999994</v>
      </c>
      <c r="E111" s="2">
        <v>3</v>
      </c>
      <c r="F111" s="18"/>
    </row>
    <row r="112" spans="1:6" ht="18.75" customHeight="1">
      <c r="A112" s="9">
        <v>109</v>
      </c>
      <c r="B112" s="2" t="s">
        <v>319</v>
      </c>
      <c r="C112" s="2" t="str">
        <f>"18002027214"</f>
        <v>18002027214</v>
      </c>
      <c r="D112" s="14">
        <v>72.650000000000006</v>
      </c>
      <c r="E112" s="2">
        <v>1</v>
      </c>
      <c r="F112" s="16" t="s">
        <v>348</v>
      </c>
    </row>
    <row r="113" spans="1:6" ht="18.75" customHeight="1">
      <c r="A113" s="9">
        <v>110</v>
      </c>
      <c r="B113" s="2" t="s">
        <v>319</v>
      </c>
      <c r="C113" s="2" t="str">
        <f>"18002027314"</f>
        <v>18002027314</v>
      </c>
      <c r="D113" s="14">
        <v>68.900000000000006</v>
      </c>
      <c r="E113" s="2">
        <v>2</v>
      </c>
      <c r="F113" s="17"/>
    </row>
    <row r="114" spans="1:6" ht="18.75" customHeight="1">
      <c r="A114" s="9">
        <v>111</v>
      </c>
      <c r="B114" s="13" t="s">
        <v>319</v>
      </c>
      <c r="C114" s="13" t="str">
        <f>"18002027306"</f>
        <v>18002027306</v>
      </c>
      <c r="D114" s="15">
        <v>66.3</v>
      </c>
      <c r="E114" s="13">
        <v>4</v>
      </c>
      <c r="F114" s="18"/>
    </row>
    <row r="115" spans="1:6" ht="18.75" customHeight="1">
      <c r="A115" s="9">
        <v>112</v>
      </c>
      <c r="B115" s="2" t="s">
        <v>323</v>
      </c>
      <c r="C115" s="2" t="str">
        <f>"18002027519"</f>
        <v>18002027519</v>
      </c>
      <c r="D115" s="14">
        <v>69.45</v>
      </c>
      <c r="E115" s="2">
        <v>1</v>
      </c>
      <c r="F115" s="16"/>
    </row>
    <row r="116" spans="1:6" ht="18.75" customHeight="1">
      <c r="A116" s="9">
        <v>113</v>
      </c>
      <c r="B116" s="2" t="s">
        <v>323</v>
      </c>
      <c r="C116" s="2" t="str">
        <f>"18002027416"</f>
        <v>18002027416</v>
      </c>
      <c r="D116" s="14">
        <v>69.2</v>
      </c>
      <c r="E116" s="2">
        <v>2</v>
      </c>
      <c r="F116" s="17"/>
    </row>
    <row r="117" spans="1:6" ht="18.75" customHeight="1">
      <c r="A117" s="9">
        <v>114</v>
      </c>
      <c r="B117" s="2" t="s">
        <v>323</v>
      </c>
      <c r="C117" s="2" t="str">
        <f>"18002027428"</f>
        <v>18002027428</v>
      </c>
      <c r="D117" s="14">
        <v>69</v>
      </c>
      <c r="E117" s="2">
        <v>3</v>
      </c>
      <c r="F117" s="18"/>
    </row>
    <row r="118" spans="1:6" ht="18.75" customHeight="1">
      <c r="A118" s="9">
        <v>115</v>
      </c>
      <c r="B118" s="2" t="s">
        <v>124</v>
      </c>
      <c r="C118" s="2" t="str">
        <f>"18002010128"</f>
        <v>18002010128</v>
      </c>
      <c r="D118" s="14">
        <v>73</v>
      </c>
      <c r="E118" s="2">
        <v>1</v>
      </c>
      <c r="F118" s="16"/>
    </row>
    <row r="119" spans="1:6" ht="18.75" customHeight="1">
      <c r="A119" s="9">
        <v>116</v>
      </c>
      <c r="B119" s="2" t="s">
        <v>124</v>
      </c>
      <c r="C119" s="2" t="str">
        <f>"18002010204"</f>
        <v>18002010204</v>
      </c>
      <c r="D119" s="14">
        <v>69.55</v>
      </c>
      <c r="E119" s="2">
        <v>2</v>
      </c>
      <c r="F119" s="17"/>
    </row>
    <row r="120" spans="1:6" ht="18.75" customHeight="1">
      <c r="A120" s="9">
        <v>117</v>
      </c>
      <c r="B120" s="2" t="s">
        <v>124</v>
      </c>
      <c r="C120" s="2" t="str">
        <f>"18002010218"</f>
        <v>18002010218</v>
      </c>
      <c r="D120" s="14">
        <v>69.150000000000006</v>
      </c>
      <c r="E120" s="2">
        <v>3</v>
      </c>
      <c r="F120" s="18"/>
    </row>
    <row r="121" spans="1:6" ht="18.75" customHeight="1">
      <c r="A121" s="9">
        <v>118</v>
      </c>
      <c r="B121" s="2" t="s">
        <v>129</v>
      </c>
      <c r="C121" s="2" t="str">
        <f>"18002010426"</f>
        <v>18002010426</v>
      </c>
      <c r="D121" s="14">
        <v>77.900000000000006</v>
      </c>
      <c r="E121" s="2">
        <v>1</v>
      </c>
      <c r="F121" s="16"/>
    </row>
    <row r="122" spans="1:6" ht="18.75" customHeight="1">
      <c r="A122" s="9">
        <v>119</v>
      </c>
      <c r="B122" s="2" t="s">
        <v>129</v>
      </c>
      <c r="C122" s="2" t="str">
        <f>"18002010511"</f>
        <v>18002010511</v>
      </c>
      <c r="D122" s="14">
        <v>74.45</v>
      </c>
      <c r="E122" s="2">
        <v>2</v>
      </c>
      <c r="F122" s="17"/>
    </row>
    <row r="123" spans="1:6" ht="18.75" customHeight="1">
      <c r="A123" s="9">
        <v>120</v>
      </c>
      <c r="B123" s="2" t="s">
        <v>129</v>
      </c>
      <c r="C123" s="2" t="str">
        <f>"18002010312"</f>
        <v>18002010312</v>
      </c>
      <c r="D123" s="14">
        <v>73.400000000000006</v>
      </c>
      <c r="E123" s="2">
        <v>3</v>
      </c>
      <c r="F123" s="18"/>
    </row>
    <row r="124" spans="1:6" ht="18.75" customHeight="1">
      <c r="A124" s="9">
        <v>121</v>
      </c>
      <c r="B124" s="2" t="s">
        <v>132</v>
      </c>
      <c r="C124" s="2" t="str">
        <f>"18002010729"</f>
        <v>18002010729</v>
      </c>
      <c r="D124" s="14">
        <v>70.7</v>
      </c>
      <c r="E124" s="2">
        <v>1</v>
      </c>
      <c r="F124" s="16"/>
    </row>
    <row r="125" spans="1:6" ht="18.75" customHeight="1">
      <c r="A125" s="9">
        <v>122</v>
      </c>
      <c r="B125" s="2" t="s">
        <v>132</v>
      </c>
      <c r="C125" s="2" t="str">
        <f>"18002010706"</f>
        <v>18002010706</v>
      </c>
      <c r="D125" s="14">
        <v>70.349999999999994</v>
      </c>
      <c r="E125" s="2">
        <v>2</v>
      </c>
      <c r="F125" s="17"/>
    </row>
    <row r="126" spans="1:6" ht="18.75" customHeight="1">
      <c r="A126" s="9">
        <v>123</v>
      </c>
      <c r="B126" s="2" t="s">
        <v>132</v>
      </c>
      <c r="C126" s="2" t="str">
        <f>"18002010619"</f>
        <v>18002010619</v>
      </c>
      <c r="D126" s="14">
        <v>70.25</v>
      </c>
      <c r="E126" s="2">
        <v>3</v>
      </c>
      <c r="F126" s="18"/>
    </row>
    <row r="127" spans="1:6" ht="18.75" customHeight="1">
      <c r="A127" s="9">
        <v>124</v>
      </c>
      <c r="B127" s="2" t="s">
        <v>53</v>
      </c>
      <c r="C127" s="2" t="str">
        <f>"18002029017"</f>
        <v>18002029017</v>
      </c>
      <c r="D127" s="14">
        <v>85</v>
      </c>
      <c r="E127" s="2">
        <v>1</v>
      </c>
      <c r="F127" s="16"/>
    </row>
    <row r="128" spans="1:6" ht="18.75" customHeight="1">
      <c r="A128" s="9">
        <v>125</v>
      </c>
      <c r="B128" s="2" t="s">
        <v>53</v>
      </c>
      <c r="C128" s="2" t="str">
        <f>"18002029020"</f>
        <v>18002029020</v>
      </c>
      <c r="D128" s="14">
        <v>83.5</v>
      </c>
      <c r="E128" s="2">
        <v>2</v>
      </c>
      <c r="F128" s="17"/>
    </row>
    <row r="129" spans="1:6" ht="18.75" customHeight="1">
      <c r="A129" s="9">
        <v>126</v>
      </c>
      <c r="B129" s="2" t="s">
        <v>53</v>
      </c>
      <c r="C129" s="2" t="str">
        <f>"18002029021"</f>
        <v>18002029021</v>
      </c>
      <c r="D129" s="14">
        <v>81.5</v>
      </c>
      <c r="E129" s="2">
        <v>3</v>
      </c>
      <c r="F129" s="18"/>
    </row>
    <row r="130" spans="1:6" ht="18.75" customHeight="1">
      <c r="A130" s="9">
        <v>127</v>
      </c>
      <c r="B130" s="2" t="s">
        <v>136</v>
      </c>
      <c r="C130" s="2" t="str">
        <f>"18002010906"</f>
        <v>18002010906</v>
      </c>
      <c r="D130" s="14">
        <v>74.55</v>
      </c>
      <c r="E130" s="2">
        <v>1</v>
      </c>
      <c r="F130" s="16"/>
    </row>
    <row r="131" spans="1:6" ht="18.75" customHeight="1">
      <c r="A131" s="9">
        <v>128</v>
      </c>
      <c r="B131" s="2" t="s">
        <v>136</v>
      </c>
      <c r="C131" s="2" t="str">
        <f>"18002010815"</f>
        <v>18002010815</v>
      </c>
      <c r="D131" s="14">
        <v>73.099999999999994</v>
      </c>
      <c r="E131" s="2">
        <v>2</v>
      </c>
      <c r="F131" s="17"/>
    </row>
    <row r="132" spans="1:6" ht="18.75" customHeight="1">
      <c r="A132" s="9">
        <v>129</v>
      </c>
      <c r="B132" s="2" t="s">
        <v>136</v>
      </c>
      <c r="C132" s="2" t="str">
        <f>"18002010816"</f>
        <v>18002010816</v>
      </c>
      <c r="D132" s="14">
        <v>71.75</v>
      </c>
      <c r="E132" s="2">
        <v>3</v>
      </c>
      <c r="F132" s="18"/>
    </row>
    <row r="133" spans="1:6" ht="18.75" customHeight="1">
      <c r="A133" s="9">
        <v>130</v>
      </c>
      <c r="B133" s="2" t="s">
        <v>140</v>
      </c>
      <c r="C133" s="2" t="str">
        <f>"18002011012"</f>
        <v>18002011012</v>
      </c>
      <c r="D133" s="14">
        <v>67.099999999999994</v>
      </c>
      <c r="E133" s="2">
        <v>1</v>
      </c>
      <c r="F133" s="16"/>
    </row>
    <row r="134" spans="1:6" ht="18.75" customHeight="1">
      <c r="A134" s="9">
        <v>131</v>
      </c>
      <c r="B134" s="2" t="s">
        <v>140</v>
      </c>
      <c r="C134" s="2" t="str">
        <f>"18002011007"</f>
        <v>18002011007</v>
      </c>
      <c r="D134" s="14">
        <v>66.45</v>
      </c>
      <c r="E134" s="2">
        <v>2</v>
      </c>
      <c r="F134" s="17"/>
    </row>
    <row r="135" spans="1:6" ht="18.75" customHeight="1">
      <c r="A135" s="9">
        <v>132</v>
      </c>
      <c r="B135" s="2" t="s">
        <v>140</v>
      </c>
      <c r="C135" s="2" t="str">
        <f>"18002011004"</f>
        <v>18002011004</v>
      </c>
      <c r="D135" s="14">
        <v>64.55</v>
      </c>
      <c r="E135" s="2">
        <v>3</v>
      </c>
      <c r="F135" s="18"/>
    </row>
    <row r="136" spans="1:6" ht="18.75" customHeight="1">
      <c r="A136" s="9">
        <v>133</v>
      </c>
      <c r="B136" s="2" t="s">
        <v>144</v>
      </c>
      <c r="C136" s="2" t="str">
        <f>"18002011213"</f>
        <v>18002011213</v>
      </c>
      <c r="D136" s="14">
        <v>76.75</v>
      </c>
      <c r="E136" s="2">
        <v>1</v>
      </c>
      <c r="F136" s="16"/>
    </row>
    <row r="137" spans="1:6" ht="18.75" customHeight="1">
      <c r="A137" s="9">
        <v>134</v>
      </c>
      <c r="B137" s="2" t="s">
        <v>144</v>
      </c>
      <c r="C137" s="2" t="str">
        <f>"18002011129"</f>
        <v>18002011129</v>
      </c>
      <c r="D137" s="14">
        <v>70.900000000000006</v>
      </c>
      <c r="E137" s="2">
        <v>2</v>
      </c>
      <c r="F137" s="17"/>
    </row>
    <row r="138" spans="1:6" ht="18.75" customHeight="1">
      <c r="A138" s="9">
        <v>135</v>
      </c>
      <c r="B138" s="2" t="s">
        <v>144</v>
      </c>
      <c r="C138" s="2" t="str">
        <f>"18002011030"</f>
        <v>18002011030</v>
      </c>
      <c r="D138" s="14">
        <v>69.95</v>
      </c>
      <c r="E138" s="2">
        <v>3</v>
      </c>
      <c r="F138" s="18"/>
    </row>
    <row r="139" spans="1:6" ht="18.75" customHeight="1">
      <c r="A139" s="9">
        <v>136</v>
      </c>
      <c r="B139" s="2" t="s">
        <v>148</v>
      </c>
      <c r="C139" s="2" t="str">
        <f>"18002011606"</f>
        <v>18002011606</v>
      </c>
      <c r="D139" s="14">
        <v>72.25</v>
      </c>
      <c r="E139" s="2">
        <v>1</v>
      </c>
      <c r="F139" s="16"/>
    </row>
    <row r="140" spans="1:6" ht="18.75" customHeight="1">
      <c r="A140" s="9">
        <v>137</v>
      </c>
      <c r="B140" s="2" t="s">
        <v>148</v>
      </c>
      <c r="C140" s="2" t="str">
        <f>"18002011513"</f>
        <v>18002011513</v>
      </c>
      <c r="D140" s="14">
        <v>71.45</v>
      </c>
      <c r="E140" s="2">
        <v>2</v>
      </c>
      <c r="F140" s="17"/>
    </row>
    <row r="141" spans="1:6" ht="18.75" customHeight="1">
      <c r="A141" s="9">
        <v>138</v>
      </c>
      <c r="B141" s="2" t="s">
        <v>148</v>
      </c>
      <c r="C141" s="2" t="str">
        <f>"18002011426"</f>
        <v>18002011426</v>
      </c>
      <c r="D141" s="14">
        <v>71.25</v>
      </c>
      <c r="E141" s="2">
        <v>3</v>
      </c>
      <c r="F141" s="18"/>
    </row>
    <row r="142" spans="1:6" ht="18.75" customHeight="1">
      <c r="A142" s="9">
        <v>139</v>
      </c>
      <c r="B142" s="2" t="s">
        <v>154</v>
      </c>
      <c r="C142" s="2" t="str">
        <f>"18002011810"</f>
        <v>18002011810</v>
      </c>
      <c r="D142" s="14">
        <v>70.95</v>
      </c>
      <c r="E142" s="2">
        <v>1</v>
      </c>
      <c r="F142" s="16"/>
    </row>
    <row r="143" spans="1:6" ht="18.75" customHeight="1">
      <c r="A143" s="9">
        <v>140</v>
      </c>
      <c r="B143" s="2" t="s">
        <v>154</v>
      </c>
      <c r="C143" s="2" t="str">
        <f>"18002011628"</f>
        <v>18002011628</v>
      </c>
      <c r="D143" s="14">
        <v>70.75</v>
      </c>
      <c r="E143" s="2">
        <v>2</v>
      </c>
      <c r="F143" s="17"/>
    </row>
    <row r="144" spans="1:6" ht="18.75" customHeight="1">
      <c r="A144" s="9">
        <v>141</v>
      </c>
      <c r="B144" s="2" t="s">
        <v>154</v>
      </c>
      <c r="C144" s="2" t="str">
        <f>"18002011721"</f>
        <v>18002011721</v>
      </c>
      <c r="D144" s="14">
        <v>70.3</v>
      </c>
      <c r="E144" s="2">
        <v>3</v>
      </c>
      <c r="F144" s="18"/>
    </row>
    <row r="145" spans="1:6" ht="18.75" customHeight="1">
      <c r="A145" s="9">
        <v>142</v>
      </c>
      <c r="B145" s="2" t="s">
        <v>159</v>
      </c>
      <c r="C145" s="2" t="str">
        <f>"18002012106"</f>
        <v>18002012106</v>
      </c>
      <c r="D145" s="14">
        <v>71.95</v>
      </c>
      <c r="E145" s="2">
        <v>1</v>
      </c>
      <c r="F145" s="16"/>
    </row>
    <row r="146" spans="1:6" ht="18.75" customHeight="1">
      <c r="A146" s="9">
        <v>143</v>
      </c>
      <c r="B146" s="2" t="s">
        <v>159</v>
      </c>
      <c r="C146" s="2" t="str">
        <f>"18002012110"</f>
        <v>18002012110</v>
      </c>
      <c r="D146" s="14">
        <v>71.900000000000006</v>
      </c>
      <c r="E146" s="2">
        <v>2</v>
      </c>
      <c r="F146" s="17"/>
    </row>
    <row r="147" spans="1:6" ht="18.75" customHeight="1">
      <c r="A147" s="9">
        <v>144</v>
      </c>
      <c r="B147" s="2" t="s">
        <v>159</v>
      </c>
      <c r="C147" s="2" t="str">
        <f>"18002012030"</f>
        <v>18002012030</v>
      </c>
      <c r="D147" s="14">
        <v>71.849999999999994</v>
      </c>
      <c r="E147" s="2">
        <v>3</v>
      </c>
      <c r="F147" s="18"/>
    </row>
    <row r="148" spans="1:6" ht="18.75" customHeight="1">
      <c r="A148" s="9">
        <v>145</v>
      </c>
      <c r="B148" s="2" t="s">
        <v>163</v>
      </c>
      <c r="C148" s="2" t="str">
        <f>"18002012601"</f>
        <v>18002012601</v>
      </c>
      <c r="D148" s="14">
        <v>74.55</v>
      </c>
      <c r="E148" s="2">
        <v>1</v>
      </c>
      <c r="F148" s="16"/>
    </row>
    <row r="149" spans="1:6" ht="18.75" customHeight="1">
      <c r="A149" s="9">
        <v>146</v>
      </c>
      <c r="B149" s="2" t="s">
        <v>163</v>
      </c>
      <c r="C149" s="2" t="str">
        <f>"18002012524"</f>
        <v>18002012524</v>
      </c>
      <c r="D149" s="14">
        <v>73.5</v>
      </c>
      <c r="E149" s="2">
        <v>2</v>
      </c>
      <c r="F149" s="17"/>
    </row>
    <row r="150" spans="1:6" ht="18.75" customHeight="1">
      <c r="A150" s="9">
        <v>147</v>
      </c>
      <c r="B150" s="2" t="s">
        <v>163</v>
      </c>
      <c r="C150" s="2" t="str">
        <f>"18002012514"</f>
        <v>18002012514</v>
      </c>
      <c r="D150" s="14">
        <v>73.2</v>
      </c>
      <c r="E150" s="2">
        <v>3</v>
      </c>
      <c r="F150" s="18"/>
    </row>
    <row r="151" spans="1:6" ht="18.75" customHeight="1">
      <c r="A151" s="9">
        <v>148</v>
      </c>
      <c r="B151" s="2" t="s">
        <v>326</v>
      </c>
      <c r="C151" s="2" t="str">
        <f>"18002028112"</f>
        <v>18002028112</v>
      </c>
      <c r="D151" s="14">
        <v>75.099999999999994</v>
      </c>
      <c r="E151" s="2">
        <v>1</v>
      </c>
      <c r="F151" s="16" t="s">
        <v>348</v>
      </c>
    </row>
    <row r="152" spans="1:6" ht="18.75" customHeight="1">
      <c r="A152" s="9">
        <v>149</v>
      </c>
      <c r="B152" s="2" t="s">
        <v>326</v>
      </c>
      <c r="C152" s="2" t="str">
        <f>"18002028013"</f>
        <v>18002028013</v>
      </c>
      <c r="D152" s="14">
        <v>70.650000000000006</v>
      </c>
      <c r="E152" s="2">
        <v>2</v>
      </c>
      <c r="F152" s="17"/>
    </row>
    <row r="153" spans="1:6" ht="18.75" customHeight="1">
      <c r="A153" s="9">
        <v>150</v>
      </c>
      <c r="B153" s="13" t="s">
        <v>326</v>
      </c>
      <c r="C153" s="13" t="str">
        <f>"18002027811"</f>
        <v>18002027811</v>
      </c>
      <c r="D153" s="15">
        <v>69.900000000000006</v>
      </c>
      <c r="E153" s="13">
        <v>4</v>
      </c>
      <c r="F153" s="18"/>
    </row>
    <row r="154" spans="1:6" ht="18.75" customHeight="1">
      <c r="A154" s="9">
        <v>151</v>
      </c>
      <c r="B154" s="2" t="s">
        <v>167</v>
      </c>
      <c r="C154" s="2" t="str">
        <f>"18002012723"</f>
        <v>18002012723</v>
      </c>
      <c r="D154" s="14">
        <v>76.349999999999994</v>
      </c>
      <c r="E154" s="2">
        <v>1</v>
      </c>
      <c r="F154" s="16"/>
    </row>
    <row r="155" spans="1:6" ht="18.75" customHeight="1">
      <c r="A155" s="9">
        <v>152</v>
      </c>
      <c r="B155" s="2" t="s">
        <v>167</v>
      </c>
      <c r="C155" s="2" t="str">
        <f>"18002012714"</f>
        <v>18002012714</v>
      </c>
      <c r="D155" s="14">
        <v>74.099999999999994</v>
      </c>
      <c r="E155" s="2">
        <v>2</v>
      </c>
      <c r="F155" s="17"/>
    </row>
    <row r="156" spans="1:6" ht="18.75" customHeight="1">
      <c r="A156" s="9">
        <v>153</v>
      </c>
      <c r="B156" s="2" t="s">
        <v>167</v>
      </c>
      <c r="C156" s="2" t="str">
        <f>"18002012625"</f>
        <v>18002012625</v>
      </c>
      <c r="D156" s="14">
        <v>70.5</v>
      </c>
      <c r="E156" s="2">
        <v>3</v>
      </c>
      <c r="F156" s="18"/>
    </row>
    <row r="157" spans="1:6" ht="18.75" customHeight="1">
      <c r="A157" s="9">
        <v>154</v>
      </c>
      <c r="B157" s="2" t="s">
        <v>172</v>
      </c>
      <c r="C157" s="2" t="str">
        <f>"18002012909"</f>
        <v>18002012909</v>
      </c>
      <c r="D157" s="14">
        <v>73.8</v>
      </c>
      <c r="E157" s="2">
        <v>1</v>
      </c>
      <c r="F157" s="16"/>
    </row>
    <row r="158" spans="1:6" ht="18.75" customHeight="1">
      <c r="A158" s="9">
        <v>155</v>
      </c>
      <c r="B158" s="2" t="s">
        <v>172</v>
      </c>
      <c r="C158" s="2" t="str">
        <f>"18002013009"</f>
        <v>18002013009</v>
      </c>
      <c r="D158" s="14">
        <v>73.349999999999994</v>
      </c>
      <c r="E158" s="2">
        <v>2</v>
      </c>
      <c r="F158" s="17"/>
    </row>
    <row r="159" spans="1:6" ht="18.75" customHeight="1">
      <c r="A159" s="9">
        <v>156</v>
      </c>
      <c r="B159" s="2" t="s">
        <v>172</v>
      </c>
      <c r="C159" s="2" t="str">
        <f>"18002012818"</f>
        <v>18002012818</v>
      </c>
      <c r="D159" s="14">
        <v>73</v>
      </c>
      <c r="E159" s="2">
        <v>3</v>
      </c>
      <c r="F159" s="18"/>
    </row>
    <row r="160" spans="1:6" ht="18.75" customHeight="1">
      <c r="A160" s="9">
        <v>157</v>
      </c>
      <c r="B160" s="2" t="s">
        <v>176</v>
      </c>
      <c r="C160" s="2" t="str">
        <f>"18002013425"</f>
        <v>18002013425</v>
      </c>
      <c r="D160" s="14">
        <v>73.55</v>
      </c>
      <c r="E160" s="2">
        <v>1</v>
      </c>
      <c r="F160" s="16"/>
    </row>
    <row r="161" spans="1:6" ht="18.75" customHeight="1">
      <c r="A161" s="9">
        <v>158</v>
      </c>
      <c r="B161" s="2" t="s">
        <v>176</v>
      </c>
      <c r="C161" s="2" t="str">
        <f>"18002013407"</f>
        <v>18002013407</v>
      </c>
      <c r="D161" s="14">
        <v>70.5</v>
      </c>
      <c r="E161" s="2">
        <v>2</v>
      </c>
      <c r="F161" s="17"/>
    </row>
    <row r="162" spans="1:6" ht="18.75" customHeight="1">
      <c r="A162" s="9">
        <v>159</v>
      </c>
      <c r="B162" s="2" t="s">
        <v>176</v>
      </c>
      <c r="C162" s="2" t="str">
        <f>"18002013328"</f>
        <v>18002013328</v>
      </c>
      <c r="D162" s="14">
        <v>70.099999999999994</v>
      </c>
      <c r="E162" s="2">
        <v>3</v>
      </c>
      <c r="F162" s="18"/>
    </row>
    <row r="163" spans="1:6" ht="18.75" customHeight="1">
      <c r="A163" s="9">
        <v>160</v>
      </c>
      <c r="B163" s="2" t="s">
        <v>180</v>
      </c>
      <c r="C163" s="2" t="str">
        <f>"18002013804"</f>
        <v>18002013804</v>
      </c>
      <c r="D163" s="14">
        <v>73.7</v>
      </c>
      <c r="E163" s="2">
        <v>1</v>
      </c>
      <c r="F163" s="16"/>
    </row>
    <row r="164" spans="1:6" ht="18.75" customHeight="1">
      <c r="A164" s="9">
        <v>161</v>
      </c>
      <c r="B164" s="2" t="s">
        <v>180</v>
      </c>
      <c r="C164" s="2" t="str">
        <f>"18002013819"</f>
        <v>18002013819</v>
      </c>
      <c r="D164" s="14">
        <v>71.099999999999994</v>
      </c>
      <c r="E164" s="2">
        <v>2</v>
      </c>
      <c r="F164" s="17"/>
    </row>
    <row r="165" spans="1:6" ht="18.75" customHeight="1">
      <c r="A165" s="9">
        <v>162</v>
      </c>
      <c r="B165" s="2" t="s">
        <v>180</v>
      </c>
      <c r="C165" s="2" t="str">
        <f>"18002013713"</f>
        <v>18002013713</v>
      </c>
      <c r="D165" s="14">
        <v>70.650000000000006</v>
      </c>
      <c r="E165" s="2">
        <v>3</v>
      </c>
      <c r="F165" s="18"/>
    </row>
    <row r="166" spans="1:6" ht="18.75" customHeight="1">
      <c r="A166" s="9">
        <v>163</v>
      </c>
      <c r="B166" s="2" t="s">
        <v>185</v>
      </c>
      <c r="C166" s="2" t="str">
        <f>"18002013916"</f>
        <v>18002013916</v>
      </c>
      <c r="D166" s="14">
        <v>77.900000000000006</v>
      </c>
      <c r="E166" s="2">
        <v>1</v>
      </c>
      <c r="F166" s="16"/>
    </row>
    <row r="167" spans="1:6" ht="18.75" customHeight="1">
      <c r="A167" s="9">
        <v>164</v>
      </c>
      <c r="B167" s="2" t="s">
        <v>185</v>
      </c>
      <c r="C167" s="2" t="str">
        <f>"18002013912"</f>
        <v>18002013912</v>
      </c>
      <c r="D167" s="14">
        <v>75.150000000000006</v>
      </c>
      <c r="E167" s="2">
        <v>2</v>
      </c>
      <c r="F167" s="17"/>
    </row>
    <row r="168" spans="1:6" ht="18.75" customHeight="1">
      <c r="A168" s="9">
        <v>165</v>
      </c>
      <c r="B168" s="2" t="s">
        <v>185</v>
      </c>
      <c r="C168" s="2" t="str">
        <f>"18002013906"</f>
        <v>18002013906</v>
      </c>
      <c r="D168" s="14">
        <v>73.900000000000006</v>
      </c>
      <c r="E168" s="2">
        <v>3</v>
      </c>
      <c r="F168" s="18"/>
    </row>
    <row r="169" spans="1:6" ht="18.75" customHeight="1">
      <c r="A169" s="9">
        <v>166</v>
      </c>
      <c r="B169" s="2" t="s">
        <v>188</v>
      </c>
      <c r="C169" s="2" t="str">
        <f>"18002014030"</f>
        <v>18002014030</v>
      </c>
      <c r="D169" s="14">
        <v>71.55</v>
      </c>
      <c r="E169" s="2">
        <v>1</v>
      </c>
      <c r="F169" s="16"/>
    </row>
    <row r="170" spans="1:6" ht="18.75" customHeight="1">
      <c r="A170" s="9">
        <v>167</v>
      </c>
      <c r="B170" s="2" t="s">
        <v>188</v>
      </c>
      <c r="C170" s="2" t="str">
        <f>"18002014110"</f>
        <v>18002014110</v>
      </c>
      <c r="D170" s="14">
        <v>70.150000000000006</v>
      </c>
      <c r="E170" s="2">
        <v>2</v>
      </c>
      <c r="F170" s="17"/>
    </row>
    <row r="171" spans="1:6" ht="18.75" customHeight="1">
      <c r="A171" s="9">
        <v>168</v>
      </c>
      <c r="B171" s="2" t="s">
        <v>188</v>
      </c>
      <c r="C171" s="2" t="str">
        <f>"18002014121"</f>
        <v>18002014121</v>
      </c>
      <c r="D171" s="14">
        <v>69.7</v>
      </c>
      <c r="E171" s="2">
        <v>3</v>
      </c>
      <c r="F171" s="18"/>
    </row>
    <row r="172" spans="1:6" ht="18.75" customHeight="1">
      <c r="A172" s="9">
        <v>169</v>
      </c>
      <c r="B172" s="2" t="s">
        <v>191</v>
      </c>
      <c r="C172" s="2" t="str">
        <f>"18002014323"</f>
        <v>18002014323</v>
      </c>
      <c r="D172" s="14">
        <v>70.099999999999994</v>
      </c>
      <c r="E172" s="2">
        <v>1</v>
      </c>
      <c r="F172" s="16"/>
    </row>
    <row r="173" spans="1:6" ht="18.75" customHeight="1">
      <c r="A173" s="9">
        <v>170</v>
      </c>
      <c r="B173" s="2" t="s">
        <v>191</v>
      </c>
      <c r="C173" s="2" t="str">
        <f>"18002014227"</f>
        <v>18002014227</v>
      </c>
      <c r="D173" s="14">
        <v>68.7</v>
      </c>
      <c r="E173" s="2">
        <v>2</v>
      </c>
      <c r="F173" s="17"/>
    </row>
    <row r="174" spans="1:6" ht="18.75" customHeight="1">
      <c r="A174" s="9">
        <v>171</v>
      </c>
      <c r="B174" s="2" t="s">
        <v>191</v>
      </c>
      <c r="C174" s="2" t="str">
        <f>"18002014410"</f>
        <v>18002014410</v>
      </c>
      <c r="D174" s="14">
        <v>67.599999999999994</v>
      </c>
      <c r="E174" s="2">
        <v>3</v>
      </c>
      <c r="F174" s="18"/>
    </row>
    <row r="175" spans="1:6" ht="18.75" customHeight="1">
      <c r="A175" s="9">
        <v>172</v>
      </c>
      <c r="B175" s="2" t="s">
        <v>194</v>
      </c>
      <c r="C175" s="2" t="str">
        <f>"18002014517"</f>
        <v>18002014517</v>
      </c>
      <c r="D175" s="14">
        <v>68.900000000000006</v>
      </c>
      <c r="E175" s="2">
        <v>1</v>
      </c>
      <c r="F175" s="16"/>
    </row>
    <row r="176" spans="1:6" ht="18.75" customHeight="1">
      <c r="A176" s="9">
        <v>173</v>
      </c>
      <c r="B176" s="2" t="s">
        <v>194</v>
      </c>
      <c r="C176" s="2" t="str">
        <f>"18002014511"</f>
        <v>18002014511</v>
      </c>
      <c r="D176" s="14">
        <v>68.349999999999994</v>
      </c>
      <c r="E176" s="2">
        <v>2</v>
      </c>
      <c r="F176" s="17"/>
    </row>
    <row r="177" spans="1:6" ht="18.75" customHeight="1">
      <c r="A177" s="9">
        <v>174</v>
      </c>
      <c r="B177" s="2" t="s">
        <v>194</v>
      </c>
      <c r="C177" s="2" t="str">
        <f>"18002014604"</f>
        <v>18002014604</v>
      </c>
      <c r="D177" s="14">
        <v>67.150000000000006</v>
      </c>
      <c r="E177" s="2">
        <v>3</v>
      </c>
      <c r="F177" s="18"/>
    </row>
    <row r="178" spans="1:6" ht="18.75" customHeight="1">
      <c r="A178" s="9">
        <v>175</v>
      </c>
      <c r="B178" s="2" t="s">
        <v>197</v>
      </c>
      <c r="C178" s="2" t="str">
        <f>"18002014726"</f>
        <v>18002014726</v>
      </c>
      <c r="D178" s="14">
        <v>72.55</v>
      </c>
      <c r="E178" s="2">
        <v>1</v>
      </c>
      <c r="F178" s="16"/>
    </row>
    <row r="179" spans="1:6" ht="18.75" customHeight="1">
      <c r="A179" s="9">
        <v>176</v>
      </c>
      <c r="B179" s="2" t="s">
        <v>197</v>
      </c>
      <c r="C179" s="2" t="str">
        <f>"18002014718"</f>
        <v>18002014718</v>
      </c>
      <c r="D179" s="14">
        <v>70.349999999999994</v>
      </c>
      <c r="E179" s="2">
        <v>2</v>
      </c>
      <c r="F179" s="17"/>
    </row>
    <row r="180" spans="1:6" ht="18.75" customHeight="1">
      <c r="A180" s="9">
        <v>177</v>
      </c>
      <c r="B180" s="2" t="s">
        <v>197</v>
      </c>
      <c r="C180" s="2" t="str">
        <f>"18002014704"</f>
        <v>18002014704</v>
      </c>
      <c r="D180" s="14">
        <v>69.849999999999994</v>
      </c>
      <c r="E180" s="2">
        <v>3</v>
      </c>
      <c r="F180" s="18"/>
    </row>
    <row r="181" spans="1:6" ht="18.75" customHeight="1">
      <c r="A181" s="9">
        <v>178</v>
      </c>
      <c r="B181" s="2" t="s">
        <v>202</v>
      </c>
      <c r="C181" s="2" t="str">
        <f>"18002014905"</f>
        <v>18002014905</v>
      </c>
      <c r="D181" s="14">
        <v>70.3</v>
      </c>
      <c r="E181" s="2">
        <v>1</v>
      </c>
      <c r="F181" s="16"/>
    </row>
    <row r="182" spans="1:6" ht="18.75" customHeight="1">
      <c r="A182" s="9">
        <v>179</v>
      </c>
      <c r="B182" s="2" t="s">
        <v>202</v>
      </c>
      <c r="C182" s="2" t="str">
        <f>"18002014929"</f>
        <v>18002014929</v>
      </c>
      <c r="D182" s="14">
        <v>69.099999999999994</v>
      </c>
      <c r="E182" s="2">
        <v>2</v>
      </c>
      <c r="F182" s="17"/>
    </row>
    <row r="183" spans="1:6" ht="18.75" customHeight="1">
      <c r="A183" s="9">
        <v>180</v>
      </c>
      <c r="B183" s="2" t="s">
        <v>202</v>
      </c>
      <c r="C183" s="2" t="str">
        <f>"18002014825"</f>
        <v>18002014825</v>
      </c>
      <c r="D183" s="14">
        <v>68.95</v>
      </c>
      <c r="E183" s="2">
        <v>3</v>
      </c>
      <c r="F183" s="18"/>
    </row>
    <row r="184" spans="1:6" ht="18.75" customHeight="1">
      <c r="A184" s="9">
        <v>181</v>
      </c>
      <c r="B184" s="2" t="s">
        <v>206</v>
      </c>
      <c r="C184" s="2" t="str">
        <f>"18002015321"</f>
        <v>18002015321</v>
      </c>
      <c r="D184" s="14">
        <v>75.3</v>
      </c>
      <c r="E184" s="2">
        <v>1</v>
      </c>
      <c r="F184" s="16"/>
    </row>
    <row r="185" spans="1:6" ht="18.75" customHeight="1">
      <c r="A185" s="9">
        <v>182</v>
      </c>
      <c r="B185" s="2" t="s">
        <v>206</v>
      </c>
      <c r="C185" s="2" t="str">
        <f>"18002015105"</f>
        <v>18002015105</v>
      </c>
      <c r="D185" s="14">
        <v>73.099999999999994</v>
      </c>
      <c r="E185" s="2">
        <v>2</v>
      </c>
      <c r="F185" s="17"/>
    </row>
    <row r="186" spans="1:6" ht="18.75" customHeight="1">
      <c r="A186" s="9">
        <v>183</v>
      </c>
      <c r="B186" s="2" t="s">
        <v>206</v>
      </c>
      <c r="C186" s="2" t="str">
        <f>"18002015120"</f>
        <v>18002015120</v>
      </c>
      <c r="D186" s="14">
        <v>72.05</v>
      </c>
      <c r="E186" s="2">
        <v>3</v>
      </c>
      <c r="F186" s="18"/>
    </row>
    <row r="187" spans="1:6" ht="18.75" customHeight="1">
      <c r="A187" s="9">
        <v>184</v>
      </c>
      <c r="B187" s="2" t="s">
        <v>211</v>
      </c>
      <c r="C187" s="2" t="str">
        <f>"18002015419"</f>
        <v>18002015419</v>
      </c>
      <c r="D187" s="14">
        <v>77.099999999999994</v>
      </c>
      <c r="E187" s="2">
        <v>1</v>
      </c>
      <c r="F187" s="16"/>
    </row>
    <row r="188" spans="1:6" ht="18.75" customHeight="1">
      <c r="A188" s="9">
        <v>185</v>
      </c>
      <c r="B188" s="2" t="s">
        <v>211</v>
      </c>
      <c r="C188" s="2" t="str">
        <f>"18002015605"</f>
        <v>18002015605</v>
      </c>
      <c r="D188" s="14">
        <v>73.5</v>
      </c>
      <c r="E188" s="2">
        <v>2</v>
      </c>
      <c r="F188" s="17"/>
    </row>
    <row r="189" spans="1:6" ht="18.75" customHeight="1">
      <c r="A189" s="9">
        <v>186</v>
      </c>
      <c r="B189" s="2" t="s">
        <v>211</v>
      </c>
      <c r="C189" s="2" t="str">
        <f>"18002015820"</f>
        <v>18002015820</v>
      </c>
      <c r="D189" s="14">
        <v>72.650000000000006</v>
      </c>
      <c r="E189" s="2">
        <v>3</v>
      </c>
      <c r="F189" s="18"/>
    </row>
    <row r="190" spans="1:6" ht="18.75" customHeight="1">
      <c r="A190" s="9">
        <v>187</v>
      </c>
      <c r="B190" s="2" t="s">
        <v>213</v>
      </c>
      <c r="C190" s="2" t="str">
        <f>"18002016024"</f>
        <v>18002016024</v>
      </c>
      <c r="D190" s="14">
        <v>72.099999999999994</v>
      </c>
      <c r="E190" s="2">
        <v>1</v>
      </c>
      <c r="F190" s="16"/>
    </row>
    <row r="191" spans="1:6" ht="18.75" customHeight="1">
      <c r="A191" s="9">
        <v>188</v>
      </c>
      <c r="B191" s="2" t="s">
        <v>213</v>
      </c>
      <c r="C191" s="2" t="str">
        <f>"18002016111"</f>
        <v>18002016111</v>
      </c>
      <c r="D191" s="14">
        <v>71.900000000000006</v>
      </c>
      <c r="E191" s="2">
        <v>2</v>
      </c>
      <c r="F191" s="17"/>
    </row>
    <row r="192" spans="1:6" ht="18.75" customHeight="1">
      <c r="A192" s="9">
        <v>189</v>
      </c>
      <c r="B192" s="2" t="s">
        <v>213</v>
      </c>
      <c r="C192" s="2" t="str">
        <f>"18002016021"</f>
        <v>18002016021</v>
      </c>
      <c r="D192" s="14">
        <v>69.650000000000006</v>
      </c>
      <c r="E192" s="2">
        <v>3</v>
      </c>
      <c r="F192" s="18"/>
    </row>
    <row r="193" spans="1:6" ht="18.75" customHeight="1">
      <c r="A193" s="9">
        <v>190</v>
      </c>
      <c r="B193" s="2" t="s">
        <v>216</v>
      </c>
      <c r="C193" s="2" t="str">
        <f>"18002016210"</f>
        <v>18002016210</v>
      </c>
      <c r="D193" s="14">
        <v>69.849999999999994</v>
      </c>
      <c r="E193" s="2">
        <v>3</v>
      </c>
      <c r="F193" s="16" t="s">
        <v>350</v>
      </c>
    </row>
    <row r="194" spans="1:6" ht="18.75" customHeight="1">
      <c r="A194" s="9">
        <v>191</v>
      </c>
      <c r="B194" s="13" t="s">
        <v>216</v>
      </c>
      <c r="C194" s="13" t="str">
        <f>"18002016218"</f>
        <v>18002016218</v>
      </c>
      <c r="D194" s="15">
        <v>68.400000000000006</v>
      </c>
      <c r="E194" s="13">
        <v>4</v>
      </c>
      <c r="F194" s="17"/>
    </row>
    <row r="195" spans="1:6" ht="18.75" customHeight="1">
      <c r="A195" s="9">
        <v>192</v>
      </c>
      <c r="B195" s="13" t="s">
        <v>216</v>
      </c>
      <c r="C195" s="13" t="str">
        <f>"18002016209"</f>
        <v>18002016209</v>
      </c>
      <c r="D195" s="15">
        <v>66.900000000000006</v>
      </c>
      <c r="E195" s="13">
        <v>5</v>
      </c>
      <c r="F195" s="18"/>
    </row>
    <row r="196" spans="1:6" ht="18.75" customHeight="1">
      <c r="A196" s="9">
        <v>193</v>
      </c>
      <c r="B196" s="2" t="s">
        <v>45</v>
      </c>
      <c r="C196" s="2" t="str">
        <f>"18002029117"</f>
        <v>18002029117</v>
      </c>
      <c r="D196" s="14">
        <v>85</v>
      </c>
      <c r="E196" s="2">
        <v>1</v>
      </c>
      <c r="F196" s="16"/>
    </row>
    <row r="197" spans="1:6" ht="18.75" customHeight="1">
      <c r="A197" s="9">
        <v>194</v>
      </c>
      <c r="B197" s="2" t="s">
        <v>45</v>
      </c>
      <c r="C197" s="2" t="str">
        <f>"18002029029"</f>
        <v>18002029029</v>
      </c>
      <c r="D197" s="14">
        <v>84.5</v>
      </c>
      <c r="E197" s="2">
        <v>2</v>
      </c>
      <c r="F197" s="17"/>
    </row>
    <row r="198" spans="1:6" ht="18.75" customHeight="1">
      <c r="A198" s="9">
        <v>195</v>
      </c>
      <c r="B198" s="2" t="s">
        <v>45</v>
      </c>
      <c r="C198" s="2" t="str">
        <f>"18002029108"</f>
        <v>18002029108</v>
      </c>
      <c r="D198" s="14">
        <v>81.5</v>
      </c>
      <c r="E198" s="2">
        <v>3</v>
      </c>
      <c r="F198" s="18"/>
    </row>
    <row r="199" spans="1:6" ht="18.75" customHeight="1">
      <c r="A199" s="9">
        <v>196</v>
      </c>
      <c r="B199" s="2" t="s">
        <v>220</v>
      </c>
      <c r="C199" s="2" t="str">
        <f>"18002016830"</f>
        <v>18002016830</v>
      </c>
      <c r="D199" s="14">
        <v>73</v>
      </c>
      <c r="E199" s="2">
        <v>1</v>
      </c>
      <c r="F199" s="16"/>
    </row>
    <row r="200" spans="1:6" ht="18.75" customHeight="1">
      <c r="A200" s="9">
        <v>197</v>
      </c>
      <c r="B200" s="2" t="s">
        <v>220</v>
      </c>
      <c r="C200" s="2" t="str">
        <f>"18002016617"</f>
        <v>18002016617</v>
      </c>
      <c r="D200" s="14">
        <v>72.55</v>
      </c>
      <c r="E200" s="2">
        <v>2</v>
      </c>
      <c r="F200" s="17"/>
    </row>
    <row r="201" spans="1:6" ht="18.75" customHeight="1">
      <c r="A201" s="9">
        <v>198</v>
      </c>
      <c r="B201" s="2" t="s">
        <v>220</v>
      </c>
      <c r="C201" s="2" t="str">
        <f>"18002016910"</f>
        <v>18002016910</v>
      </c>
      <c r="D201" s="14">
        <v>72.349999999999994</v>
      </c>
      <c r="E201" s="2">
        <v>3</v>
      </c>
      <c r="F201" s="18"/>
    </row>
    <row r="202" spans="1:6" ht="18.75" customHeight="1">
      <c r="A202" s="9">
        <v>199</v>
      </c>
      <c r="B202" s="2" t="s">
        <v>56</v>
      </c>
      <c r="C202" s="2" t="str">
        <f>"18002029417"</f>
        <v>18002029417</v>
      </c>
      <c r="D202" s="14">
        <v>79</v>
      </c>
      <c r="E202" s="2">
        <v>1</v>
      </c>
      <c r="F202" s="16"/>
    </row>
    <row r="203" spans="1:6" ht="18.75" customHeight="1">
      <c r="A203" s="9">
        <v>200</v>
      </c>
      <c r="B203" s="2" t="s">
        <v>56</v>
      </c>
      <c r="C203" s="2" t="str">
        <f>"18002029415"</f>
        <v>18002029415</v>
      </c>
      <c r="D203" s="14">
        <v>65.5</v>
      </c>
      <c r="E203" s="2">
        <v>2</v>
      </c>
      <c r="F203" s="18"/>
    </row>
    <row r="204" spans="1:6" ht="18.75" customHeight="1">
      <c r="A204" s="9">
        <v>201</v>
      </c>
      <c r="B204" s="2" t="s">
        <v>60</v>
      </c>
      <c r="C204" s="2" t="str">
        <f>"18002029509"</f>
        <v>18002029509</v>
      </c>
      <c r="D204" s="14">
        <v>75</v>
      </c>
      <c r="E204" s="2">
        <v>1</v>
      </c>
      <c r="F204" s="16"/>
    </row>
    <row r="205" spans="1:6" ht="18.75" customHeight="1">
      <c r="A205" s="9">
        <v>202</v>
      </c>
      <c r="B205" s="2" t="s">
        <v>60</v>
      </c>
      <c r="C205" s="2" t="str">
        <f>"18002029508"</f>
        <v>18002029508</v>
      </c>
      <c r="D205" s="14">
        <v>74.5</v>
      </c>
      <c r="E205" s="2">
        <v>2</v>
      </c>
      <c r="F205" s="17"/>
    </row>
    <row r="206" spans="1:6" ht="18.75" customHeight="1">
      <c r="A206" s="9">
        <v>203</v>
      </c>
      <c r="B206" s="2" t="s">
        <v>60</v>
      </c>
      <c r="C206" s="2" t="str">
        <f>"18002029513"</f>
        <v>18002029513</v>
      </c>
      <c r="D206" s="14">
        <v>74</v>
      </c>
      <c r="E206" s="2">
        <v>3</v>
      </c>
      <c r="F206" s="18"/>
    </row>
    <row r="207" spans="1:6" ht="18.75" customHeight="1">
      <c r="A207" s="9">
        <v>204</v>
      </c>
      <c r="B207" s="2" t="s">
        <v>64</v>
      </c>
      <c r="C207" s="2" t="str">
        <f>"18002029528"</f>
        <v>18002029528</v>
      </c>
      <c r="D207" s="14">
        <v>77.5</v>
      </c>
      <c r="E207" s="2">
        <v>1</v>
      </c>
      <c r="F207" s="16" t="s">
        <v>351</v>
      </c>
    </row>
    <row r="208" spans="1:6" ht="18.75" customHeight="1">
      <c r="A208" s="9">
        <v>205</v>
      </c>
      <c r="B208" s="2" t="s">
        <v>64</v>
      </c>
      <c r="C208" s="2" t="str">
        <f>"18002029520"</f>
        <v>18002029520</v>
      </c>
      <c r="D208" s="14">
        <v>75.5</v>
      </c>
      <c r="E208" s="2">
        <v>2</v>
      </c>
      <c r="F208" s="17"/>
    </row>
    <row r="209" spans="1:6" ht="18.75" customHeight="1">
      <c r="A209" s="9">
        <v>206</v>
      </c>
      <c r="B209" s="2" t="s">
        <v>64</v>
      </c>
      <c r="C209" s="2" t="str">
        <f>"18002029518"</f>
        <v>18002029518</v>
      </c>
      <c r="D209" s="14">
        <v>74</v>
      </c>
      <c r="E209" s="2">
        <v>3</v>
      </c>
      <c r="F209" s="17"/>
    </row>
    <row r="210" spans="1:6" ht="18.75" customHeight="1">
      <c r="A210" s="9">
        <v>207</v>
      </c>
      <c r="B210" s="2" t="s">
        <v>64</v>
      </c>
      <c r="C210" s="2" t="str">
        <f>"18002029524"</f>
        <v>18002029524</v>
      </c>
      <c r="D210" s="14">
        <v>73.5</v>
      </c>
      <c r="E210" s="2">
        <v>4</v>
      </c>
      <c r="F210" s="17"/>
    </row>
    <row r="211" spans="1:6" ht="18.75" customHeight="1">
      <c r="A211" s="9">
        <v>208</v>
      </c>
      <c r="B211" s="2" t="s">
        <v>64</v>
      </c>
      <c r="C211" s="2" t="str">
        <f>"18002029519"</f>
        <v>18002029519</v>
      </c>
      <c r="D211" s="14">
        <v>72</v>
      </c>
      <c r="E211" s="2">
        <v>5</v>
      </c>
      <c r="F211" s="18"/>
    </row>
    <row r="212" spans="1:6" ht="18.75" customHeight="1">
      <c r="A212" s="9">
        <v>209</v>
      </c>
      <c r="B212" s="2" t="s">
        <v>49</v>
      </c>
      <c r="C212" s="2" t="str">
        <f>"18002029326"</f>
        <v>18002029326</v>
      </c>
      <c r="D212" s="14">
        <v>90.5</v>
      </c>
      <c r="E212" s="2">
        <v>1</v>
      </c>
      <c r="F212" s="16"/>
    </row>
    <row r="213" spans="1:6" ht="18.75" customHeight="1">
      <c r="A213" s="9">
        <v>210</v>
      </c>
      <c r="B213" s="2" t="s">
        <v>49</v>
      </c>
      <c r="C213" s="2" t="str">
        <f>"18002029229"</f>
        <v>18002029229</v>
      </c>
      <c r="D213" s="14">
        <v>82.5</v>
      </c>
      <c r="E213" s="2">
        <v>2</v>
      </c>
      <c r="F213" s="17"/>
    </row>
    <row r="214" spans="1:6" ht="18.75" customHeight="1">
      <c r="A214" s="9">
        <v>211</v>
      </c>
      <c r="B214" s="2" t="s">
        <v>49</v>
      </c>
      <c r="C214" s="2" t="str">
        <f>"18002029221"</f>
        <v>18002029221</v>
      </c>
      <c r="D214" s="14">
        <v>81.5</v>
      </c>
      <c r="E214" s="2">
        <v>3</v>
      </c>
      <c r="F214" s="17"/>
    </row>
    <row r="215" spans="1:6" ht="18.75" customHeight="1">
      <c r="A215" s="9">
        <v>212</v>
      </c>
      <c r="B215" s="2" t="s">
        <v>49</v>
      </c>
      <c r="C215" s="2" t="str">
        <f>"18002029207"</f>
        <v>18002029207</v>
      </c>
      <c r="D215" s="14">
        <v>81</v>
      </c>
      <c r="E215" s="2">
        <v>4</v>
      </c>
      <c r="F215" s="17"/>
    </row>
    <row r="216" spans="1:6" ht="18.75" customHeight="1">
      <c r="A216" s="9">
        <v>213</v>
      </c>
      <c r="B216" s="2" t="s">
        <v>49</v>
      </c>
      <c r="C216" s="2" t="str">
        <f>"18002029330"</f>
        <v>18002029330</v>
      </c>
      <c r="D216" s="14">
        <v>80.5</v>
      </c>
      <c r="E216" s="2">
        <v>5</v>
      </c>
      <c r="F216" s="17"/>
    </row>
    <row r="217" spans="1:6" ht="18.75" customHeight="1">
      <c r="A217" s="9">
        <v>214</v>
      </c>
      <c r="B217" s="2" t="s">
        <v>49</v>
      </c>
      <c r="C217" s="2" t="str">
        <f>"18002029210"</f>
        <v>18002029210</v>
      </c>
      <c r="D217" s="14">
        <v>79</v>
      </c>
      <c r="E217" s="2">
        <v>6</v>
      </c>
      <c r="F217" s="18"/>
    </row>
    <row r="218" spans="1:6" ht="18.75" customHeight="1">
      <c r="A218" s="9">
        <v>215</v>
      </c>
      <c r="B218" s="2" t="s">
        <v>225</v>
      </c>
      <c r="C218" s="2" t="str">
        <f>"18002017026"</f>
        <v>18002017026</v>
      </c>
      <c r="D218" s="14">
        <v>59.4</v>
      </c>
      <c r="E218" s="2">
        <v>2</v>
      </c>
      <c r="F218" s="2" t="s">
        <v>349</v>
      </c>
    </row>
  </sheetData>
  <sortState ref="A2:AY4969">
    <sortCondition ref="B2:B4969"/>
  </sortState>
  <mergeCells count="61">
    <mergeCell ref="A2:F2"/>
    <mergeCell ref="A1:B1"/>
    <mergeCell ref="F4:F12"/>
    <mergeCell ref="F13:F22"/>
    <mergeCell ref="F23:F29"/>
    <mergeCell ref="F30:F31"/>
    <mergeCell ref="F32:F33"/>
    <mergeCell ref="F34:F36"/>
    <mergeCell ref="F37:F39"/>
    <mergeCell ref="F40:F45"/>
    <mergeCell ref="F46:F48"/>
    <mergeCell ref="F49:F51"/>
    <mergeCell ref="F52:F54"/>
    <mergeCell ref="F55:F60"/>
    <mergeCell ref="F61:F63"/>
    <mergeCell ref="F64:F66"/>
    <mergeCell ref="F67:F69"/>
    <mergeCell ref="F70:F72"/>
    <mergeCell ref="F73:F75"/>
    <mergeCell ref="F76:F78"/>
    <mergeCell ref="F79:F81"/>
    <mergeCell ref="F82:F87"/>
    <mergeCell ref="F88:F93"/>
    <mergeCell ref="F94:F99"/>
    <mergeCell ref="F100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204:F206"/>
    <mergeCell ref="F207:F211"/>
    <mergeCell ref="F212:F217"/>
    <mergeCell ref="F190:F192"/>
    <mergeCell ref="F193:F195"/>
    <mergeCell ref="F196:F198"/>
    <mergeCell ref="F199:F201"/>
    <mergeCell ref="F202:F20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3"/>
  <sheetViews>
    <sheetView topLeftCell="B1" workbookViewId="0">
      <selection activeCell="AX2" sqref="AX2"/>
    </sheetView>
  </sheetViews>
  <sheetFormatPr defaultRowHeight="14.1" customHeight="1"/>
  <cols>
    <col min="1" max="1" width="9" hidden="1" customWidth="1"/>
    <col min="2" max="2" width="8.375" customWidth="1"/>
    <col min="3" max="3" width="20.375" customWidth="1"/>
    <col min="4" max="4" width="12.25" customWidth="1"/>
    <col min="5" max="5" width="7.625" customWidth="1"/>
    <col min="6" max="6" width="8.875" hidden="1" customWidth="1"/>
    <col min="7" max="7" width="22.25" hidden="1" customWidth="1"/>
    <col min="8" max="20" width="8.875" hidden="1" customWidth="1"/>
    <col min="21" max="21" width="16.125" hidden="1" customWidth="1"/>
    <col min="22" max="22" width="13.875" hidden="1" customWidth="1"/>
    <col min="23" max="33" width="8.875" hidden="1" customWidth="1"/>
    <col min="34" max="34" width="16.125" hidden="1" customWidth="1"/>
    <col min="35" max="35" width="14.5" customWidth="1"/>
    <col min="36" max="37" width="7.5" hidden="1" customWidth="1"/>
    <col min="38" max="38" width="24.875" hidden="1" customWidth="1"/>
    <col min="39" max="43" width="9" hidden="1" customWidth="1"/>
    <col min="44" max="44" width="24.875" hidden="1" customWidth="1"/>
    <col min="45" max="45" width="9.5" style="1" hidden="1" customWidth="1"/>
    <col min="46" max="46" width="11.625" hidden="1" customWidth="1"/>
    <col min="47" max="47" width="9.5" hidden="1" customWidth="1"/>
    <col min="48" max="48" width="12" style="8" hidden="1" customWidth="1"/>
    <col min="49" max="49" width="12" hidden="1" customWidth="1"/>
    <col min="50" max="50" width="18.75" bestFit="1" customWidth="1"/>
    <col min="51" max="51" width="9.75" hidden="1" customWidth="1"/>
  </cols>
  <sheetData>
    <row r="1" spans="1:51" ht="33.75" customHeight="1">
      <c r="B1" s="19" t="s">
        <v>334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1" ht="19.5" customHeight="1">
      <c r="A2" t="s">
        <v>0</v>
      </c>
      <c r="B2" s="10" t="s">
        <v>333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335</v>
      </c>
      <c r="AS2" s="11" t="s">
        <v>336</v>
      </c>
      <c r="AT2" s="10" t="s">
        <v>337</v>
      </c>
      <c r="AU2" s="10" t="s">
        <v>338</v>
      </c>
      <c r="AV2" s="12" t="s">
        <v>339</v>
      </c>
      <c r="AW2" s="10" t="s">
        <v>340</v>
      </c>
      <c r="AX2" s="10" t="s">
        <v>341</v>
      </c>
      <c r="AY2" s="2" t="s">
        <v>332</v>
      </c>
    </row>
    <row r="3" spans="1:51" ht="18.75" customHeight="1">
      <c r="A3" t="str">
        <f>"1002201811261832232514"</f>
        <v>1002201811261832232514</v>
      </c>
      <c r="B3" s="9">
        <v>1</v>
      </c>
      <c r="C3" s="2" t="s">
        <v>51</v>
      </c>
      <c r="D3" s="2" t="str">
        <f>"刘伟"</f>
        <v>刘伟</v>
      </c>
      <c r="E3" s="2" t="str">
        <f t="shared" ref="E3:E11" si="0">"男"</f>
        <v>男</v>
      </c>
      <c r="F3" s="2" t="str">
        <f>"1987-07-18"</f>
        <v>1987-07-18</v>
      </c>
      <c r="G3" s="2" t="str">
        <f>"320682198707189117"</f>
        <v>320682198707189117</v>
      </c>
      <c r="H3" s="2" t="str">
        <f>"江苏如皋"</f>
        <v>江苏如皋</v>
      </c>
      <c r="I3" s="2" t="str">
        <f t="shared" ref="I3:I15" si="1">"非应届生"</f>
        <v>非应届生</v>
      </c>
      <c r="J3" s="2" t="str">
        <f t="shared" ref="J3:J11" si="2">"无"</f>
        <v>无</v>
      </c>
      <c r="K3" s="2" t="str">
        <f>"2009.07"</f>
        <v>2009.07</v>
      </c>
      <c r="L3" s="2" t="str">
        <f>"学士"</f>
        <v>学士</v>
      </c>
      <c r="M3" s="2" t="str">
        <f>"中国传媒大学"</f>
        <v>中国传媒大学</v>
      </c>
      <c r="N3" s="2" t="str">
        <f>"广告学"</f>
        <v>广告学</v>
      </c>
      <c r="O3" s="2" t="str">
        <f t="shared" ref="O3:O23" si="3">"本科"</f>
        <v>本科</v>
      </c>
      <c r="P3" s="2" t="str">
        <f>"183"</f>
        <v>183</v>
      </c>
      <c r="Q3" s="2" t="str">
        <f>"如皋市文广传媒集团"</f>
        <v>如皋市文广传媒集团</v>
      </c>
      <c r="R3" s="2" t="str">
        <f>"2009.08"</f>
        <v>2009.08</v>
      </c>
      <c r="S3" s="2" t="str">
        <f>"如皋市东景豪庭3号楼401"</f>
        <v>如皋市东景豪庭3号楼401</v>
      </c>
      <c r="T3" s="2" t="str">
        <f>"226500"</f>
        <v>226500</v>
      </c>
      <c r="U3" s="2" t="str">
        <f>"051388555168"</f>
        <v>051388555168</v>
      </c>
      <c r="V3" s="2" t="str">
        <f>"18862750856"</f>
        <v>18862750856</v>
      </c>
      <c r="W3" s="2" t="str">
        <f>"标准  未评级"</f>
        <v>标准  未评级</v>
      </c>
      <c r="X3" s="2" t="str">
        <f t="shared" ref="X3:X34" si="4">"否"</f>
        <v>否</v>
      </c>
      <c r="Y3" s="2" t="str">
        <f>"大学英语四级"</f>
        <v>大学英语四级</v>
      </c>
      <c r="Z3" s="2" t="str">
        <f>"计算机一级"</f>
        <v>计算机一级</v>
      </c>
      <c r="AA3" s="2" t="str">
        <f>"父亲|刘俊|如皋市邮政局|母亲|王爱红|退休|妻子|杨清|浦发银行如皋支行|||"</f>
        <v>父亲|刘俊|如皋市邮政局|母亲|王爱红|退休|妻子|杨清|浦发银行如皋支行|||</v>
      </c>
      <c r="AB3" s="2" t="str">
        <f>"2002.09-2005.06 江苏省如皋中学 学生_x000D_
2005.09-2009.07 中国传媒大学广告学院广告学 学生_x000D_
2010.01-2012.06 大贺传媒股份有限公司 职员_x000D_
2013.02-2015.06 武汉留住贸易有限公司 职员_x000D_
2015.07至今     如皋市文广传媒集团  记者"</f>
        <v>2002.09-2005.06 江苏省如皋中学 学生_x000D_
2005.09-2009.07 中国传媒大学广告学院广告学 学生_x000D_
2010.01-2012.06 大贺传媒股份有限公司 职员_x000D_
2013.02-2015.06 武汉留住贸易有限公司 职员_x000D_
2015.07至今     如皋市文广传媒集团  记者</v>
      </c>
      <c r="AC3" s="2" t="str">
        <f>"无"</f>
        <v>无</v>
      </c>
      <c r="AD3" s="2" t="str">
        <f>""</f>
        <v/>
      </c>
      <c r="AE3" s="4">
        <v>43431.370208333334</v>
      </c>
      <c r="AF3" s="2">
        <v>1</v>
      </c>
      <c r="AG3" s="2">
        <v>1</v>
      </c>
      <c r="AH3" s="2">
        <v>5</v>
      </c>
      <c r="AI3" s="2" t="str">
        <f>"18002029617"</f>
        <v>18002029617</v>
      </c>
      <c r="AJ3" s="2">
        <v>96</v>
      </c>
      <c r="AK3" s="2">
        <v>7</v>
      </c>
      <c r="AL3" s="2" t="s">
        <v>42</v>
      </c>
      <c r="AM3" s="2" t="s">
        <v>43</v>
      </c>
      <c r="AN3" s="2">
        <v>2</v>
      </c>
      <c r="AO3" s="2">
        <v>238</v>
      </c>
      <c r="AP3" s="2" t="s">
        <v>78</v>
      </c>
      <c r="AQ3" s="2"/>
      <c r="AR3" s="2" t="s">
        <v>102</v>
      </c>
      <c r="AS3" s="3" t="s">
        <v>116</v>
      </c>
      <c r="AT3" s="2">
        <v>51</v>
      </c>
      <c r="AU3" s="2">
        <v>26</v>
      </c>
      <c r="AV3" s="6">
        <f t="shared" ref="AV3:AV20" si="5">AT3+AU3</f>
        <v>77</v>
      </c>
      <c r="AW3" s="2">
        <v>1</v>
      </c>
      <c r="AX3" s="2"/>
      <c r="AY3" s="2"/>
    </row>
    <row r="4" spans="1:51" ht="18.75" customHeight="1">
      <c r="A4" t="str">
        <f>"1002201811291727186143"</f>
        <v>1002201811291727186143</v>
      </c>
      <c r="B4" s="9">
        <v>2</v>
      </c>
      <c r="C4" s="2" t="s">
        <v>51</v>
      </c>
      <c r="D4" s="2" t="str">
        <f>"梅国飞"</f>
        <v>梅国飞</v>
      </c>
      <c r="E4" s="2" t="str">
        <f t="shared" si="0"/>
        <v>男</v>
      </c>
      <c r="F4" s="2" t="str">
        <f>"1996-07-14"</f>
        <v>1996-07-14</v>
      </c>
      <c r="G4" s="2" t="str">
        <f>"320621199607140019"</f>
        <v>320621199607140019</v>
      </c>
      <c r="H4" s="2" t="str">
        <f>"江苏省南通市海安市"</f>
        <v>江苏省南通市海安市</v>
      </c>
      <c r="I4" s="2" t="str">
        <f t="shared" si="1"/>
        <v>非应届生</v>
      </c>
      <c r="J4" s="2" t="str">
        <f t="shared" si="2"/>
        <v>无</v>
      </c>
      <c r="K4" s="2" t="str">
        <f>"2018.07"</f>
        <v>2018.07</v>
      </c>
      <c r="L4" s="2" t="str">
        <f>"学士"</f>
        <v>学士</v>
      </c>
      <c r="M4" s="2" t="str">
        <f>"湖南科技大学"</f>
        <v>湖南科技大学</v>
      </c>
      <c r="N4" s="2" t="str">
        <f>"新闻"</f>
        <v>新闻</v>
      </c>
      <c r="O4" s="2" t="str">
        <f t="shared" si="3"/>
        <v>本科</v>
      </c>
      <c r="P4" s="2" t="str">
        <f>"170"</f>
        <v>170</v>
      </c>
      <c r="Q4" s="2" t="str">
        <f>"海安市广播电视台"</f>
        <v>海安市广播电视台</v>
      </c>
      <c r="R4" s="2" t="str">
        <f>"2018.07"</f>
        <v>2018.07</v>
      </c>
      <c r="S4" s="2" t="str">
        <f>"江苏省海安县北城街道三塘村6组3号"</f>
        <v>江苏省海安县北城街道三塘村6组3号</v>
      </c>
      <c r="T4" s="2" t="str">
        <f>"226600"</f>
        <v>226600</v>
      </c>
      <c r="U4" s="2" t="str">
        <f>"88859052"</f>
        <v>88859052</v>
      </c>
      <c r="V4" s="2" t="str">
        <f>"18252862428"</f>
        <v>18252862428</v>
      </c>
      <c r="W4" s="2" t="str">
        <f>"二级甲等"</f>
        <v>二级甲等</v>
      </c>
      <c r="X4" s="2" t="str">
        <f t="shared" si="4"/>
        <v>否</v>
      </c>
      <c r="Y4" s="2" t="str">
        <f>"CET4"</f>
        <v>CET4</v>
      </c>
      <c r="Z4" s="2" t="str">
        <f>"OFFICE计算机二级"</f>
        <v>OFFICE计算机二级</v>
      </c>
      <c r="AA4" s="2" t="str">
        <f>"父亲|梅德春|联翔驾校|母亲|王琴|待业||||||"</f>
        <v>父亲|梅德春|联翔驾校|母亲|王琴|待业||||||</v>
      </c>
      <c r="AB4" s="2" t="str">
        <f>"2011.09-2014.06 海安立发中学 学生_x000D_
2014.09-2018.07 湖南科技大学新闻专业 学生_x000D_
2018.07-2018.12 海安市广播电视台 助理记者"</f>
        <v>2011.09-2014.06 海安立发中学 学生_x000D_
2014.09-2018.07 湖南科技大学新闻专业 学生_x000D_
2018.07-2018.12 海安市广播电视台 助理记者</v>
      </c>
      <c r="AC4" s="2" t="str">
        <f>"拟从事户外摄像工作"</f>
        <v>拟从事户外摄像工作</v>
      </c>
      <c r="AD4" s="2" t="str">
        <f>""</f>
        <v/>
      </c>
      <c r="AE4" s="4">
        <v>43445.365011574075</v>
      </c>
      <c r="AF4" s="2">
        <v>1</v>
      </c>
      <c r="AG4" s="2">
        <v>1</v>
      </c>
      <c r="AH4" s="2">
        <v>4</v>
      </c>
      <c r="AI4" s="2" t="str">
        <f>"18002029651"</f>
        <v>18002029651</v>
      </c>
      <c r="AJ4" s="2">
        <v>96</v>
      </c>
      <c r="AK4" s="2">
        <v>18</v>
      </c>
      <c r="AL4" s="2" t="s">
        <v>42</v>
      </c>
      <c r="AM4" s="2" t="s">
        <v>43</v>
      </c>
      <c r="AN4" s="2">
        <v>2</v>
      </c>
      <c r="AO4" s="2">
        <v>5330</v>
      </c>
      <c r="AP4" s="2" t="s">
        <v>87</v>
      </c>
      <c r="AQ4" s="2"/>
      <c r="AR4" s="2" t="s">
        <v>102</v>
      </c>
      <c r="AS4" s="3" t="s">
        <v>113</v>
      </c>
      <c r="AT4" s="2">
        <v>48.5</v>
      </c>
      <c r="AU4" s="2">
        <v>24</v>
      </c>
      <c r="AV4" s="6">
        <f t="shared" si="5"/>
        <v>72.5</v>
      </c>
      <c r="AW4" s="2">
        <v>2</v>
      </c>
      <c r="AX4" s="2"/>
      <c r="AY4" s="2"/>
    </row>
    <row r="5" spans="1:51" ht="18.75" customHeight="1">
      <c r="A5" t="str">
        <f>"100220181126102432906"</f>
        <v>100220181126102432906</v>
      </c>
      <c r="B5" s="9">
        <v>3</v>
      </c>
      <c r="C5" s="2" t="s">
        <v>51</v>
      </c>
      <c r="D5" s="2" t="str">
        <f>"张晶晶"</f>
        <v>张晶晶</v>
      </c>
      <c r="E5" s="2" t="str">
        <f t="shared" si="0"/>
        <v>男</v>
      </c>
      <c r="F5" s="2" t="str">
        <f>"1983-08-19"</f>
        <v>1983-08-19</v>
      </c>
      <c r="G5" s="2" t="str">
        <f>"320682198308193274"</f>
        <v>320682198308193274</v>
      </c>
      <c r="H5" s="2" t="str">
        <f>"江苏南通如皋"</f>
        <v>江苏南通如皋</v>
      </c>
      <c r="I5" s="2" t="str">
        <f t="shared" si="1"/>
        <v>非应届生</v>
      </c>
      <c r="J5" s="2" t="str">
        <f t="shared" si="2"/>
        <v>无</v>
      </c>
      <c r="K5" s="2" t="str">
        <f>"2012.07"</f>
        <v>2012.07</v>
      </c>
      <c r="L5" s="2" t="str">
        <f>"无"</f>
        <v>无</v>
      </c>
      <c r="M5" s="2" t="str">
        <f>"北京大学"</f>
        <v>北京大学</v>
      </c>
      <c r="N5" s="2" t="str">
        <f>"汉语言文学"</f>
        <v>汉语言文学</v>
      </c>
      <c r="O5" s="2" t="str">
        <f t="shared" si="3"/>
        <v>本科</v>
      </c>
      <c r="P5" s="2" t="str">
        <f>"178cm"</f>
        <v>178cm</v>
      </c>
      <c r="Q5" s="2" t="str">
        <f>"如皋广播电视台"</f>
        <v>如皋广播电视台</v>
      </c>
      <c r="R5" s="2" t="str">
        <f>"2005.09"</f>
        <v>2005.09</v>
      </c>
      <c r="S5" s="2" t="str">
        <f>"15151352200"</f>
        <v>15151352200</v>
      </c>
      <c r="T5" s="2" t="str">
        <f>"226500"</f>
        <v>226500</v>
      </c>
      <c r="U5" s="2" t="str">
        <f>"0513-87335566"</f>
        <v>0513-87335566</v>
      </c>
      <c r="V5" s="2" t="str">
        <f>"15151352200"</f>
        <v>15151352200</v>
      </c>
      <c r="W5" s="2" t="str">
        <f>"二甲"</f>
        <v>二甲</v>
      </c>
      <c r="X5" s="2" t="str">
        <f t="shared" si="4"/>
        <v>否</v>
      </c>
      <c r="Y5" s="2" t="str">
        <f>"英语四级"</f>
        <v>英语四级</v>
      </c>
      <c r="Z5" s="2" t="str">
        <f>"计算机一级"</f>
        <v>计算机一级</v>
      </c>
      <c r="AA5" s="2" t="str">
        <f>"父亲|沈国华|中筑城投建设发展有限公司新疆分公司|母亲|沙美英|无业|妻子|曹海琴|南通优米服饰有限公司|||"</f>
        <v>父亲|沈国华|中筑城投建设发展有限公司新疆分公司|母亲|沙美英|无业|妻子|曹海琴|南通优米服饰有限公司|||</v>
      </c>
      <c r="AB5" s="2" t="str">
        <f>"2000年9月——2002年7月 如皋市薛窑中学 _x000D_
2002年9月——2005年7月 徐州师范大学_x000D_
2005年9月——2008年1月 中央电视台《东方时空》 _x000D_
2008年1月——至今      如皋电视台"</f>
        <v>2000年9月——2002年7月 如皋市薛窑中学 _x000D_
2002年9月——2005年7月 徐州师范大学_x000D_
2005年9月——2008年1月 中央电视台《东方时空》 _x000D_
2008年1月——至今      如皋电视台</v>
      </c>
      <c r="AC5" s="2" t="str">
        <f>"03"</f>
        <v>03</v>
      </c>
      <c r="AD5" s="2" t="str">
        <f>""</f>
        <v/>
      </c>
      <c r="AE5" s="4">
        <v>43432.404120370367</v>
      </c>
      <c r="AF5" s="2">
        <v>1</v>
      </c>
      <c r="AG5" s="2">
        <v>1</v>
      </c>
      <c r="AH5" s="2">
        <v>3</v>
      </c>
      <c r="AI5" s="2" t="str">
        <f>"18002029649"</f>
        <v>18002029649</v>
      </c>
      <c r="AJ5" s="2">
        <v>96</v>
      </c>
      <c r="AK5" s="2">
        <v>17</v>
      </c>
      <c r="AL5" s="2" t="s">
        <v>42</v>
      </c>
      <c r="AM5" s="2" t="s">
        <v>43</v>
      </c>
      <c r="AN5" s="2">
        <v>2</v>
      </c>
      <c r="AO5" s="2">
        <v>4897</v>
      </c>
      <c r="AP5" s="2" t="s">
        <v>48</v>
      </c>
      <c r="AQ5" s="2"/>
      <c r="AR5" s="2" t="s">
        <v>102</v>
      </c>
      <c r="AS5" s="3" t="s">
        <v>113</v>
      </c>
      <c r="AT5" s="2">
        <v>44</v>
      </c>
      <c r="AU5" s="2">
        <v>28</v>
      </c>
      <c r="AV5" s="6">
        <f t="shared" si="5"/>
        <v>72</v>
      </c>
      <c r="AW5" s="2">
        <v>3</v>
      </c>
      <c r="AX5" s="2"/>
      <c r="AY5" s="2"/>
    </row>
    <row r="6" spans="1:51" ht="18.75" customHeight="1">
      <c r="A6" t="str">
        <f>"100220181126092024377"</f>
        <v>100220181126092024377</v>
      </c>
      <c r="B6" s="9">
        <v>4</v>
      </c>
      <c r="C6" s="2" t="s">
        <v>51</v>
      </c>
      <c r="D6" s="2" t="str">
        <f>"金鑫"</f>
        <v>金鑫</v>
      </c>
      <c r="E6" s="2" t="str">
        <f t="shared" si="0"/>
        <v>男</v>
      </c>
      <c r="F6" s="2" t="str">
        <f>"1989-06-28"</f>
        <v>1989-06-28</v>
      </c>
      <c r="G6" s="2" t="str">
        <f>"320682198906288951"</f>
        <v>320682198906288951</v>
      </c>
      <c r="H6" s="2" t="str">
        <f>"如皋"</f>
        <v>如皋</v>
      </c>
      <c r="I6" s="2" t="str">
        <f t="shared" si="1"/>
        <v>非应届生</v>
      </c>
      <c r="J6" s="2" t="str">
        <f t="shared" si="2"/>
        <v>无</v>
      </c>
      <c r="K6" s="2" t="str">
        <f>"2018.7"</f>
        <v>2018.7</v>
      </c>
      <c r="L6" s="2" t="str">
        <f>"无"</f>
        <v>无</v>
      </c>
      <c r="M6" s="2" t="str">
        <f>"西南大学"</f>
        <v>西南大学</v>
      </c>
      <c r="N6" s="2" t="str">
        <f>"新闻学"</f>
        <v>新闻学</v>
      </c>
      <c r="O6" s="2" t="str">
        <f t="shared" si="3"/>
        <v>本科</v>
      </c>
      <c r="P6" s="2" t="str">
        <f>"167"</f>
        <v>167</v>
      </c>
      <c r="Q6" s="2" t="str">
        <f>"如皋市文广传媒集团"</f>
        <v>如皋市文广传媒集团</v>
      </c>
      <c r="R6" s="2" t="str">
        <f>"2010.3"</f>
        <v>2010.3</v>
      </c>
      <c r="S6" s="2" t="str">
        <f>"江苏省如皋市星雨华府2#1101"</f>
        <v>江苏省如皋市星雨华府2#1101</v>
      </c>
      <c r="T6" s="2" t="str">
        <f>"226500"</f>
        <v>226500</v>
      </c>
      <c r="U6" s="2" t="str">
        <f>"051387657169"</f>
        <v>051387657169</v>
      </c>
      <c r="V6" s="2" t="str">
        <f>"15062755789"</f>
        <v>15062755789</v>
      </c>
      <c r="W6" s="2" t="str">
        <f>"二级甲等"</f>
        <v>二级甲等</v>
      </c>
      <c r="X6" s="2" t="str">
        <f t="shared" si="4"/>
        <v>否</v>
      </c>
      <c r="Y6" s="2" t="str">
        <f>"一般"</f>
        <v>一般</v>
      </c>
      <c r="Z6" s="2" t="str">
        <f>"一级B"</f>
        <v>一级B</v>
      </c>
      <c r="AA6" s="2" t="str">
        <f>"父亲|金海波|如皋市广播电视台|母亲|陈梅芳|退休|妻子|康登香|如皋市伯乐音乐学校|||"</f>
        <v>父亲|金海波|如皋市广播电视台|母亲|陈梅芳|退休|妻子|康登香|如皋市伯乐音乐学校|||</v>
      </c>
      <c r="AB6" s="2" t="str">
        <f>"2005.09-2010.07 江苏广播电视学校 学生_x000D_
2010.03-2010.03 镇江市文广传媒集团 编辑_x000D_
2010.03-至今 如皋市文广传媒集团 记者_x000D_
（其中2016.03-2018.07西南大学 学生）"</f>
        <v>2005.09-2010.07 江苏广播电视学校 学生_x000D_
2010.03-2010.03 镇江市文广传媒集团 编辑_x000D_
2010.03-至今 如皋市文广传媒集团 记者_x000D_
（其中2016.03-2018.07西南大学 学生）</v>
      </c>
      <c r="AC6" s="2" t="str">
        <f>"拟从事户外摄像工作"</f>
        <v>拟从事户外摄像工作</v>
      </c>
      <c r="AD6" s="2" t="str">
        <f>""</f>
        <v/>
      </c>
      <c r="AE6" s="4">
        <v>43434.425509259258</v>
      </c>
      <c r="AF6" s="2">
        <v>1</v>
      </c>
      <c r="AG6" s="2">
        <v>1</v>
      </c>
      <c r="AH6" s="2">
        <v>1</v>
      </c>
      <c r="AI6" s="2" t="str">
        <f>"18002029661"</f>
        <v>18002029661</v>
      </c>
      <c r="AJ6" s="2">
        <v>96</v>
      </c>
      <c r="AK6" s="2">
        <v>20</v>
      </c>
      <c r="AL6" s="2" t="s">
        <v>42</v>
      </c>
      <c r="AM6" s="2" t="s">
        <v>43</v>
      </c>
      <c r="AN6" s="2">
        <v>2</v>
      </c>
      <c r="AO6" s="2">
        <v>7063</v>
      </c>
      <c r="AP6" s="2" t="s">
        <v>48</v>
      </c>
      <c r="AQ6" s="2"/>
      <c r="AR6" s="2" t="s">
        <v>102</v>
      </c>
      <c r="AS6" s="3" t="s">
        <v>113</v>
      </c>
      <c r="AT6" s="2">
        <v>47</v>
      </c>
      <c r="AU6" s="2">
        <v>24</v>
      </c>
      <c r="AV6" s="6">
        <f t="shared" si="5"/>
        <v>71</v>
      </c>
      <c r="AW6" s="2">
        <v>4</v>
      </c>
      <c r="AX6" s="2"/>
      <c r="AY6" s="2"/>
    </row>
    <row r="7" spans="1:51" ht="18.75" customHeight="1">
      <c r="A7" t="str">
        <f>"1002201811261920302616"</f>
        <v>1002201811261920302616</v>
      </c>
      <c r="B7" s="9">
        <v>5</v>
      </c>
      <c r="C7" s="2" t="s">
        <v>51</v>
      </c>
      <c r="D7" s="2" t="str">
        <f>"王勇"</f>
        <v>王勇</v>
      </c>
      <c r="E7" s="2" t="str">
        <f t="shared" si="0"/>
        <v>男</v>
      </c>
      <c r="F7" s="2" t="str">
        <f>"1988-06-21"</f>
        <v>1988-06-21</v>
      </c>
      <c r="G7" s="2" t="str">
        <f>"321027198806213016"</f>
        <v>321027198806213016</v>
      </c>
      <c r="H7" s="2" t="str">
        <f>"江苏省扬州市邗江区"</f>
        <v>江苏省扬州市邗江区</v>
      </c>
      <c r="I7" s="2" t="str">
        <f t="shared" si="1"/>
        <v>非应届生</v>
      </c>
      <c r="J7" s="2" t="str">
        <f t="shared" si="2"/>
        <v>无</v>
      </c>
      <c r="K7" s="2" t="str">
        <f>"2011.07"</f>
        <v>2011.07</v>
      </c>
      <c r="L7" s="2" t="str">
        <f>"学士"</f>
        <v>学士</v>
      </c>
      <c r="M7" s="2" t="str">
        <f>"南京师范大学"</f>
        <v>南京师范大学</v>
      </c>
      <c r="N7" s="2" t="str">
        <f>"广播电视新闻学"</f>
        <v>广播电视新闻学</v>
      </c>
      <c r="O7" s="2" t="str">
        <f t="shared" si="3"/>
        <v>本科</v>
      </c>
      <c r="P7" s="2" t="str">
        <f>"173"</f>
        <v>173</v>
      </c>
      <c r="Q7" s="2" t="str">
        <f>"江苏欧佩日化股份有限公司"</f>
        <v>江苏欧佩日化股份有限公司</v>
      </c>
      <c r="R7" s="2" t="str">
        <f>"2010,11"</f>
        <v>2010,11</v>
      </c>
      <c r="S7" s="2" t="str">
        <f>"江苏省扬州市邗江区甘泉街道"</f>
        <v>江苏省扬州市邗江区甘泉街道</v>
      </c>
      <c r="T7" s="2" t="str">
        <f>"225000"</f>
        <v>225000</v>
      </c>
      <c r="U7" s="2" t="str">
        <f>"无"</f>
        <v>无</v>
      </c>
      <c r="V7" s="2" t="str">
        <f>"17712298880"</f>
        <v>17712298880</v>
      </c>
      <c r="W7" s="2" t="str">
        <f>"无"</f>
        <v>无</v>
      </c>
      <c r="X7" s="2" t="str">
        <f t="shared" si="4"/>
        <v>否</v>
      </c>
      <c r="Y7" s="2" t="str">
        <f>"英语四级"</f>
        <v>英语四级</v>
      </c>
      <c r="Z7" s="2" t="str">
        <f>"计算机二级"</f>
        <v>计算机二级</v>
      </c>
      <c r="AA7" s="2" t="str">
        <f>"父|王在虎|务农|母|严寿红|务农|妻|曾曼|工人|||"</f>
        <v>父|王在虎|务农|母|严寿红|务农|妻|曾曼|工人|||</v>
      </c>
      <c r="AB7" s="2" t="str">
        <f>"2004.09-2007.06 江苏省邗江中学 学生_x000D_
2007.09-2011.07 南京师范大学 学生_x000D_
2010.11-2012.07 丹阳电视台 记者_x000D_
2012.10-2013.03 江都二建集团 施工员_x000D_
2014.03-2016.04 中公教育集团 职员_x000D_
2016.07-2017.07 私营业主_x000D_
2017.09至今 江苏欧佩日化 职员"</f>
        <v>2004.09-2007.06 江苏省邗江中学 学生_x000D_
2007.09-2011.07 南京师范大学 学生_x000D_
2010.11-2012.07 丹阳电视台 记者_x000D_
2012.10-2013.03 江都二建集团 施工员_x000D_
2014.03-2016.04 中公教育集团 职员_x000D_
2016.07-2017.07 私营业主_x000D_
2017.09至今 江苏欧佩日化 职员</v>
      </c>
      <c r="AC7" s="2" t="str">
        <f>"无"</f>
        <v>无</v>
      </c>
      <c r="AD7" s="2" t="str">
        <f>""</f>
        <v/>
      </c>
      <c r="AE7" s="4">
        <v>43431.367523148147</v>
      </c>
      <c r="AF7" s="2">
        <v>1</v>
      </c>
      <c r="AG7" s="2">
        <v>1</v>
      </c>
      <c r="AH7" s="2">
        <v>4</v>
      </c>
      <c r="AI7" s="2" t="str">
        <f>"18002029631"</f>
        <v>18002029631</v>
      </c>
      <c r="AJ7" s="2">
        <v>96</v>
      </c>
      <c r="AK7" s="2">
        <v>11</v>
      </c>
      <c r="AL7" s="2" t="s">
        <v>42</v>
      </c>
      <c r="AM7" s="2" t="s">
        <v>43</v>
      </c>
      <c r="AN7" s="2">
        <v>2</v>
      </c>
      <c r="AO7" s="2">
        <v>1967</v>
      </c>
      <c r="AP7" s="2" t="s">
        <v>80</v>
      </c>
      <c r="AQ7" s="2"/>
      <c r="AR7" s="2" t="s">
        <v>102</v>
      </c>
      <c r="AS7" s="3" t="s">
        <v>113</v>
      </c>
      <c r="AT7" s="2">
        <v>50</v>
      </c>
      <c r="AU7" s="2">
        <v>21</v>
      </c>
      <c r="AV7" s="6">
        <f t="shared" si="5"/>
        <v>71</v>
      </c>
      <c r="AW7" s="2">
        <v>4</v>
      </c>
      <c r="AX7" s="2"/>
      <c r="AY7" s="2"/>
    </row>
    <row r="8" spans="1:51" ht="18.75" customHeight="1">
      <c r="A8" t="str">
        <f>"1002201811261806412461"</f>
        <v>1002201811261806412461</v>
      </c>
      <c r="B8" s="9">
        <v>6</v>
      </c>
      <c r="C8" s="2" t="s">
        <v>51</v>
      </c>
      <c r="D8" s="2" t="str">
        <f>"徐成"</f>
        <v>徐成</v>
      </c>
      <c r="E8" s="2" t="str">
        <f t="shared" si="0"/>
        <v>男</v>
      </c>
      <c r="F8" s="2" t="str">
        <f>"1995-10-15"</f>
        <v>1995-10-15</v>
      </c>
      <c r="G8" s="2" t="str">
        <f>"320682199510156439"</f>
        <v>320682199510156439</v>
      </c>
      <c r="H8" s="2" t="str">
        <f>"江苏省南通市如皋市"</f>
        <v>江苏省南通市如皋市</v>
      </c>
      <c r="I8" s="2" t="str">
        <f t="shared" si="1"/>
        <v>非应届生</v>
      </c>
      <c r="J8" s="2" t="str">
        <f t="shared" si="2"/>
        <v>无</v>
      </c>
      <c r="K8" s="2" t="str">
        <f>"2017.6"</f>
        <v>2017.6</v>
      </c>
      <c r="L8" s="2" t="str">
        <f>"学士"</f>
        <v>学士</v>
      </c>
      <c r="M8" s="2" t="str">
        <f>"上海应用技术大学"</f>
        <v>上海应用技术大学</v>
      </c>
      <c r="N8" s="2" t="str">
        <f>"文化产业管理"</f>
        <v>文化产业管理</v>
      </c>
      <c r="O8" s="2" t="str">
        <f t="shared" si="3"/>
        <v>本科</v>
      </c>
      <c r="P8" s="2" t="str">
        <f>"178cm"</f>
        <v>178cm</v>
      </c>
      <c r="Q8" s="2" t="str">
        <f>"如皋市文广传媒广告有限公司"</f>
        <v>如皋市文广传媒广告有限公司</v>
      </c>
      <c r="R8" s="2" t="str">
        <f>"2018.6"</f>
        <v>2018.6</v>
      </c>
      <c r="S8" s="2" t="str">
        <f>"江苏省南通市港闸区隆兴小区33栋"</f>
        <v>江苏省南通市港闸区隆兴小区33栋</v>
      </c>
      <c r="T8" s="2" t="str">
        <f>"226000"</f>
        <v>226000</v>
      </c>
      <c r="U8" s="2" t="str">
        <f>"无"</f>
        <v>无</v>
      </c>
      <c r="V8" s="2" t="str">
        <f>"18761793903"</f>
        <v>18761793903</v>
      </c>
      <c r="W8" s="2" t="str">
        <f>"二级乙等"</f>
        <v>二级乙等</v>
      </c>
      <c r="X8" s="2" t="str">
        <f t="shared" si="4"/>
        <v>否</v>
      </c>
      <c r="Y8" s="2" t="str">
        <f>"英语6级"</f>
        <v>英语6级</v>
      </c>
      <c r="Z8" s="2" t="str">
        <f>"熟练使用办公软件"</f>
        <v>熟练使用办公软件</v>
      </c>
      <c r="AA8" s="2" t="str">
        <f>"父亲|徐宏建|南通中集|母亲|章明凤|在家务农||||||"</f>
        <v>父亲|徐宏建|南通中集|母亲|章明凤|在家务农||||||</v>
      </c>
      <c r="AB8" s="2" t="str">
        <f>"2010.09-2013.06 如皋市搬经中学 学生_x000D_
2013.09-2017.6 上海应用技术大学 学生_x000D_
2018.6至今 如皋市文广传媒广告有限公司 摄像记者"</f>
        <v>2010.09-2013.06 如皋市搬经中学 学生_x000D_
2013.09-2017.6 上海应用技术大学 学生_x000D_
2018.6至今 如皋市文广传媒广告有限公司 摄像记者</v>
      </c>
      <c r="AC8" s="2" t="str">
        <f>"无"</f>
        <v>无</v>
      </c>
      <c r="AD8" s="2" t="str">
        <f>"无"</f>
        <v>无</v>
      </c>
      <c r="AE8" s="4">
        <v>43431.363425925927</v>
      </c>
      <c r="AF8" s="2">
        <v>1</v>
      </c>
      <c r="AG8" s="2">
        <v>1</v>
      </c>
      <c r="AH8" s="2">
        <v>2</v>
      </c>
      <c r="AI8" s="2" t="str">
        <f>"18002029633"</f>
        <v>18002029633</v>
      </c>
      <c r="AJ8" s="2">
        <v>96</v>
      </c>
      <c r="AK8" s="2">
        <v>12</v>
      </c>
      <c r="AL8" s="2" t="s">
        <v>42</v>
      </c>
      <c r="AM8" s="2" t="s">
        <v>43</v>
      </c>
      <c r="AN8" s="2">
        <v>2</v>
      </c>
      <c r="AO8" s="2">
        <v>2398</v>
      </c>
      <c r="AP8" s="2" t="s">
        <v>46</v>
      </c>
      <c r="AQ8" s="2"/>
      <c r="AR8" s="2" t="s">
        <v>102</v>
      </c>
      <c r="AS8" s="3" t="s">
        <v>113</v>
      </c>
      <c r="AT8" s="2">
        <v>45</v>
      </c>
      <c r="AU8" s="2">
        <v>24</v>
      </c>
      <c r="AV8" s="6">
        <f t="shared" si="5"/>
        <v>69</v>
      </c>
      <c r="AW8" s="2">
        <v>6</v>
      </c>
      <c r="AX8" s="2"/>
      <c r="AY8" s="2"/>
    </row>
    <row r="9" spans="1:51" ht="18.75" customHeight="1">
      <c r="A9" t="str">
        <f>"1002201811262158282954"</f>
        <v>1002201811262158282954</v>
      </c>
      <c r="B9" s="9">
        <v>7</v>
      </c>
      <c r="C9" s="2" t="s">
        <v>51</v>
      </c>
      <c r="D9" s="2" t="str">
        <f>"金潇"</f>
        <v>金潇</v>
      </c>
      <c r="E9" s="2" t="str">
        <f t="shared" si="0"/>
        <v>男</v>
      </c>
      <c r="F9" s="2" t="str">
        <f>"1993-12-29"</f>
        <v>1993-12-29</v>
      </c>
      <c r="G9" s="2" t="str">
        <f>"320682199312298970"</f>
        <v>320682199312298970</v>
      </c>
      <c r="H9" s="2" t="str">
        <f>"江苏如皋"</f>
        <v>江苏如皋</v>
      </c>
      <c r="I9" s="2" t="str">
        <f t="shared" si="1"/>
        <v>非应届生</v>
      </c>
      <c r="J9" s="2" t="str">
        <f t="shared" si="2"/>
        <v>无</v>
      </c>
      <c r="K9" s="2" t="str">
        <f>"2018.07"</f>
        <v>2018.07</v>
      </c>
      <c r="L9" s="2" t="str">
        <f>"无"</f>
        <v>无</v>
      </c>
      <c r="M9" s="2" t="str">
        <f>"西南大学"</f>
        <v>西南大学</v>
      </c>
      <c r="N9" s="2" t="str">
        <f>"新闻学"</f>
        <v>新闻学</v>
      </c>
      <c r="O9" s="2" t="str">
        <f t="shared" si="3"/>
        <v>本科</v>
      </c>
      <c r="P9" s="2" t="str">
        <f>"176"</f>
        <v>176</v>
      </c>
      <c r="Q9" s="2" t="str">
        <f>"如皋市文广传媒集团"</f>
        <v>如皋市文广传媒集团</v>
      </c>
      <c r="R9" s="2" t="str">
        <f>"2016.08"</f>
        <v>2016.08</v>
      </c>
      <c r="S9" s="2" t="str">
        <f>"如皋市益寿路355号204幢306室"</f>
        <v>如皋市益寿路355号204幢306室</v>
      </c>
      <c r="T9" s="2" t="str">
        <f t="shared" ref="T9:T14" si="6">"226500"</f>
        <v>226500</v>
      </c>
      <c r="U9" s="2" t="str">
        <f>"87619010"</f>
        <v>87619010</v>
      </c>
      <c r="V9" s="2" t="str">
        <f>"18606159982"</f>
        <v>18606159982</v>
      </c>
      <c r="W9" s="2" t="str">
        <f t="shared" ref="W9:W11" si="7">"无"</f>
        <v>无</v>
      </c>
      <c r="X9" s="2" t="str">
        <f t="shared" si="4"/>
        <v>否</v>
      </c>
      <c r="Y9" s="2" t="str">
        <f>"英语三级"</f>
        <v>英语三级</v>
      </c>
      <c r="Z9" s="2" t="str">
        <f>"全国计算机一级"</f>
        <v>全国计算机一级</v>
      </c>
      <c r="AA9" s="2" t="str">
        <f>"父亲|金国良|常熟长途汽车客运公司|母亲|刘玉莲|如皋泰慕士服装厂||||||"</f>
        <v>父亲|金国良|常熟长途汽车客运公司|母亲|刘玉莲|如皋泰慕士服装厂||||||</v>
      </c>
      <c r="AB9" s="2" t="str">
        <f>"2009.09-2012.06如皋市石庄高级中学_x000D_
2012.09-2015.06江苏城市职业学院_x000D_
2016.03-2018.07西南大学_x000D_
2016.08-2018.11如皋市文广传媒集团"</f>
        <v>2009.09-2012.06如皋市石庄高级中学_x000D_
2012.09-2015.06江苏城市职业学院_x000D_
2016.03-2018.07西南大学_x000D_
2016.08-2018.11如皋市文广传媒集团</v>
      </c>
      <c r="AC9" s="2" t="str">
        <f>"户外摄像"</f>
        <v>户外摄像</v>
      </c>
      <c r="AD9" s="2" t="str">
        <f>""</f>
        <v/>
      </c>
      <c r="AE9" s="4">
        <v>43431.37394675926</v>
      </c>
      <c r="AF9" s="2">
        <v>1</v>
      </c>
      <c r="AG9" s="2">
        <v>1</v>
      </c>
      <c r="AH9" s="2">
        <v>1</v>
      </c>
      <c r="AI9" s="2" t="str">
        <f>"18002029663"</f>
        <v>18002029663</v>
      </c>
      <c r="AJ9" s="2">
        <v>96</v>
      </c>
      <c r="AK9" s="2">
        <v>21</v>
      </c>
      <c r="AL9" s="2" t="s">
        <v>42</v>
      </c>
      <c r="AM9" s="2" t="s">
        <v>43</v>
      </c>
      <c r="AN9" s="2">
        <v>2</v>
      </c>
      <c r="AO9" s="2">
        <v>7210</v>
      </c>
      <c r="AP9" s="2" t="s">
        <v>83</v>
      </c>
      <c r="AQ9" s="2"/>
      <c r="AR9" s="2" t="s">
        <v>102</v>
      </c>
      <c r="AS9" s="3" t="s">
        <v>113</v>
      </c>
      <c r="AT9" s="2">
        <v>44.5</v>
      </c>
      <c r="AU9" s="2">
        <v>24</v>
      </c>
      <c r="AV9" s="6">
        <f t="shared" si="5"/>
        <v>68.5</v>
      </c>
      <c r="AW9" s="2">
        <v>7</v>
      </c>
      <c r="AX9" s="2"/>
      <c r="AY9" s="2"/>
    </row>
    <row r="10" spans="1:51" ht="18.75" customHeight="1">
      <c r="A10" t="str">
        <f>"100220181126101104804"</f>
        <v>100220181126101104804</v>
      </c>
      <c r="B10" s="9">
        <v>8</v>
      </c>
      <c r="C10" s="2" t="s">
        <v>51</v>
      </c>
      <c r="D10" s="2" t="str">
        <f>"胡杰"</f>
        <v>胡杰</v>
      </c>
      <c r="E10" s="2" t="str">
        <f t="shared" si="0"/>
        <v>男</v>
      </c>
      <c r="F10" s="2" t="str">
        <f>"1987-06-27"</f>
        <v>1987-06-27</v>
      </c>
      <c r="G10" s="2" t="str">
        <f>"320682198706270212"</f>
        <v>320682198706270212</v>
      </c>
      <c r="H10" s="2" t="str">
        <f>"如皋市如城街道丰乐苑203幢207室"</f>
        <v>如皋市如城街道丰乐苑203幢207室</v>
      </c>
      <c r="I10" s="2" t="str">
        <f t="shared" si="1"/>
        <v>非应届生</v>
      </c>
      <c r="J10" s="2" t="str">
        <f t="shared" si="2"/>
        <v>无</v>
      </c>
      <c r="K10" s="2" t="str">
        <f>"2012.07"</f>
        <v>2012.07</v>
      </c>
      <c r="L10" s="2" t="str">
        <f>"无"</f>
        <v>无</v>
      </c>
      <c r="M10" s="2" t="str">
        <f>"北京大学"</f>
        <v>北京大学</v>
      </c>
      <c r="N10" s="2" t="str">
        <f>"行政管理"</f>
        <v>行政管理</v>
      </c>
      <c r="O10" s="2" t="str">
        <f t="shared" si="3"/>
        <v>本科</v>
      </c>
      <c r="P10" s="2" t="str">
        <f>"175cm"</f>
        <v>175cm</v>
      </c>
      <c r="Q10" s="2" t="str">
        <f>"如皋市文广传媒集团"</f>
        <v>如皋市文广传媒集团</v>
      </c>
      <c r="R10" s="2" t="str">
        <f>"2008.09"</f>
        <v>2008.09</v>
      </c>
      <c r="S10" s="2" t="str">
        <f>"惠政路188号"</f>
        <v>惠政路188号</v>
      </c>
      <c r="T10" s="2" t="str">
        <f t="shared" si="6"/>
        <v>226500</v>
      </c>
      <c r="U10" s="2" t="str">
        <f>"87335566"</f>
        <v>87335566</v>
      </c>
      <c r="V10" s="2" t="str">
        <f>"18001488886"</f>
        <v>18001488886</v>
      </c>
      <c r="W10" s="2" t="str">
        <f t="shared" si="7"/>
        <v>无</v>
      </c>
      <c r="X10" s="2" t="str">
        <f t="shared" si="4"/>
        <v>否</v>
      </c>
      <c r="Y10" s="2" t="str">
        <f>"4级"</f>
        <v>4级</v>
      </c>
      <c r="Z10" s="2" t="str">
        <f>"2级"</f>
        <v>2级</v>
      </c>
      <c r="AA10" s="2" t="str">
        <f>"父亲|胡卫平|退休|母亲|薛映梅|退休||||||"</f>
        <v>父亲|胡卫平|退休|母亲|薛映梅|退休||||||</v>
      </c>
      <c r="AB10" s="2" t="str">
        <f>"2002年至2005年就读于如皋师范高中部    _x000D_
2005年至2008年就读于无锡江南影视艺术学院广告系_x000D_
2008年9月如皋市新闻传媒中心如皋日报社新闻部工作（摄像记者）_x000D_
2011年2月如皋市文广传媒集团电视台新闻部工作（摄像记者）_x000D_
2012年3月如皋市文广传媒集团电视台广告部工作（摄像记者）（北大远程教育本科毕业）_x000D_
2012年5月如皋市文广传媒集团电视台影视发展部工作（摄像记者）_x000D_
2012年8月至如皋市文广传媒集团电视台民生节目部工作（摄像记者）                      "</f>
        <v xml:space="preserve">2002年至2005年就读于如皋师范高中部    _x000D_
2005年至2008年就读于无锡江南影视艺术学院广告系_x000D_
2008年9月如皋市新闻传媒中心如皋日报社新闻部工作（摄像记者）_x000D_
2011年2月如皋市文广传媒集团电视台新闻部工作（摄像记者）_x000D_
2012年3月如皋市文广传媒集团电视台广告部工作（摄像记者）（北大远程教育本科毕业）_x000D_
2012年5月如皋市文广传媒集团电视台影视发展部工作（摄像记者）_x000D_
2012年8月至如皋市文广传媒集团电视台民生节目部工作（摄像记者）                      </v>
      </c>
      <c r="AC10" s="2" t="str">
        <f>"还具备报考03岗位条件"</f>
        <v>还具备报考03岗位条件</v>
      </c>
      <c r="AD10" s="2" t="str">
        <f>"爱好摄影摄像"</f>
        <v>爱好摄影摄像</v>
      </c>
      <c r="AE10" s="4">
        <v>43430.446435185186</v>
      </c>
      <c r="AF10" s="2">
        <v>1</v>
      </c>
      <c r="AG10" s="2">
        <v>1</v>
      </c>
      <c r="AH10" s="2">
        <v>3</v>
      </c>
      <c r="AI10" s="2" t="str">
        <f>"18002029668"</f>
        <v>18002029668</v>
      </c>
      <c r="AJ10" s="2">
        <v>96</v>
      </c>
      <c r="AK10" s="2">
        <v>22</v>
      </c>
      <c r="AL10" s="2" t="s">
        <v>42</v>
      </c>
      <c r="AM10" s="2" t="s">
        <v>43</v>
      </c>
      <c r="AN10" s="2">
        <v>2</v>
      </c>
      <c r="AO10" s="2">
        <v>7911</v>
      </c>
      <c r="AP10" s="2" t="s">
        <v>48</v>
      </c>
      <c r="AQ10" s="2"/>
      <c r="AR10" s="2" t="s">
        <v>102</v>
      </c>
      <c r="AS10" s="3" t="s">
        <v>113</v>
      </c>
      <c r="AT10" s="2">
        <v>44.5</v>
      </c>
      <c r="AU10" s="2">
        <v>24</v>
      </c>
      <c r="AV10" s="6">
        <f t="shared" si="5"/>
        <v>68.5</v>
      </c>
      <c r="AW10" s="2">
        <v>7</v>
      </c>
      <c r="AX10" s="2"/>
      <c r="AY10" s="2"/>
    </row>
    <row r="11" spans="1:51" ht="18.75" customHeight="1">
      <c r="A11" t="str">
        <f>"1002201811291035055664"</f>
        <v>1002201811291035055664</v>
      </c>
      <c r="B11" s="9">
        <v>9</v>
      </c>
      <c r="C11" s="2" t="s">
        <v>51</v>
      </c>
      <c r="D11" s="2" t="str">
        <f>"袁吉"</f>
        <v>袁吉</v>
      </c>
      <c r="E11" s="2" t="str">
        <f t="shared" si="0"/>
        <v>男</v>
      </c>
      <c r="F11" s="2" t="str">
        <f>"1989-11-28"</f>
        <v>1989-11-28</v>
      </c>
      <c r="G11" s="2" t="str">
        <f>"130521198911281574"</f>
        <v>130521198911281574</v>
      </c>
      <c r="H11" s="2" t="str">
        <f>"江苏省如皋市总工会小区"</f>
        <v>江苏省如皋市总工会小区</v>
      </c>
      <c r="I11" s="2" t="str">
        <f t="shared" si="1"/>
        <v>非应届生</v>
      </c>
      <c r="J11" s="2" t="str">
        <f t="shared" si="2"/>
        <v>无</v>
      </c>
      <c r="K11" s="2" t="str">
        <f>"2009.6"</f>
        <v>2009.6</v>
      </c>
      <c r="L11" s="2" t="str">
        <f>"学士"</f>
        <v>学士</v>
      </c>
      <c r="M11" s="2" t="str">
        <f>"南京金陵科技学院"</f>
        <v>南京金陵科技学院</v>
      </c>
      <c r="N11" s="2" t="str">
        <f>"艺术类 动画专业"</f>
        <v>艺术类 动画专业</v>
      </c>
      <c r="O11" s="2" t="str">
        <f t="shared" si="3"/>
        <v>本科</v>
      </c>
      <c r="P11" s="2" t="str">
        <f>"1.68"</f>
        <v>1.68</v>
      </c>
      <c r="Q11" s="2" t="str">
        <f>"如皋市广播电视台"</f>
        <v>如皋市广播电视台</v>
      </c>
      <c r="R11" s="2" t="str">
        <f>"2009.6"</f>
        <v>2009.6</v>
      </c>
      <c r="S11" s="2" t="str">
        <f>"如皋市总工会小区"</f>
        <v>如皋市总工会小区</v>
      </c>
      <c r="T11" s="2" t="str">
        <f t="shared" si="6"/>
        <v>226500</v>
      </c>
      <c r="U11" s="2" t="str">
        <f>"15251386968"</f>
        <v>15251386968</v>
      </c>
      <c r="V11" s="2" t="str">
        <f>"15251386968"</f>
        <v>15251386968</v>
      </c>
      <c r="W11" s="2" t="str">
        <f t="shared" si="7"/>
        <v>无</v>
      </c>
      <c r="X11" s="2" t="str">
        <f t="shared" si="4"/>
        <v>否</v>
      </c>
      <c r="Y11" s="2" t="str">
        <f>"无"</f>
        <v>无</v>
      </c>
      <c r="Z11" s="2" t="str">
        <f>"熟练"</f>
        <v>熟练</v>
      </c>
      <c r="AA11" s="2" t="str">
        <f>"父亲|袁绍兵|市场监督管理局|母亲|贾忠红|无|妻子|姚萍|万达轴承有限公司|||"</f>
        <v>父亲|袁绍兵|市场监督管理局|母亲|贾忠红|无|妻子|姚萍|万达轴承有限公司|||</v>
      </c>
      <c r="AB11" s="2" t="str">
        <f>"2002.09至2005.06  城西中学 学生_x000D_
2005.09至2009.06  南京金陵科技大学 艺术动画专业 学生_x000D_
2009.06至今 如皋市广播电视台  记者"</f>
        <v>2002.09至2005.06  城西中学 学生_x000D_
2005.09至2009.06  南京金陵科技大学 艺术动画专业 学生_x000D_
2009.06至今 如皋市广播电视台  记者</v>
      </c>
      <c r="AC11" s="2" t="str">
        <f>"摄影 摄像 编辑 新媒体  航拍 "</f>
        <v xml:space="preserve">摄影 摄像 编辑 新媒体  航拍 </v>
      </c>
      <c r="AD11" s="2" t="str">
        <f>""</f>
        <v/>
      </c>
      <c r="AE11" s="4">
        <v>43433.62054398148</v>
      </c>
      <c r="AF11" s="2">
        <v>1</v>
      </c>
      <c r="AG11" s="2">
        <v>1</v>
      </c>
      <c r="AH11" s="2">
        <v>1</v>
      </c>
      <c r="AI11" s="2" t="str">
        <f>"18002029636"</f>
        <v>18002029636</v>
      </c>
      <c r="AJ11" s="2">
        <v>96</v>
      </c>
      <c r="AK11" s="2">
        <v>13</v>
      </c>
      <c r="AL11" s="2" t="s">
        <v>42</v>
      </c>
      <c r="AM11" s="2" t="s">
        <v>43</v>
      </c>
      <c r="AN11" s="2">
        <v>2</v>
      </c>
      <c r="AO11" s="2">
        <v>2657</v>
      </c>
      <c r="AP11" s="2" t="s">
        <v>48</v>
      </c>
      <c r="AQ11" s="2"/>
      <c r="AR11" s="2" t="s">
        <v>102</v>
      </c>
      <c r="AS11" s="3" t="s">
        <v>113</v>
      </c>
      <c r="AT11" s="2">
        <v>40</v>
      </c>
      <c r="AU11" s="2">
        <v>27</v>
      </c>
      <c r="AV11" s="6">
        <f t="shared" si="5"/>
        <v>67</v>
      </c>
      <c r="AW11" s="2">
        <v>9</v>
      </c>
      <c r="AX11" s="2"/>
      <c r="AY11" s="2"/>
    </row>
    <row r="12" spans="1:51" ht="18.75" customHeight="1">
      <c r="A12" t="str">
        <f>"100220181126090211130"</f>
        <v>100220181126090211130</v>
      </c>
      <c r="B12" s="9">
        <v>10</v>
      </c>
      <c r="C12" s="2" t="s">
        <v>47</v>
      </c>
      <c r="D12" s="2" t="str">
        <f>"黄牡丹"</f>
        <v>黄牡丹</v>
      </c>
      <c r="E12" s="2" t="str">
        <f t="shared" ref="E12:E17" si="8">"女"</f>
        <v>女</v>
      </c>
      <c r="F12" s="2" t="str">
        <f>"1987-09-22"</f>
        <v>1987-09-22</v>
      </c>
      <c r="G12" s="2" t="str">
        <f>"32068219870922596X"</f>
        <v>32068219870922596X</v>
      </c>
      <c r="H12" s="2" t="str">
        <f>"江苏省如皋市"</f>
        <v>江苏省如皋市</v>
      </c>
      <c r="I12" s="2" t="str">
        <f t="shared" si="1"/>
        <v>非应届生</v>
      </c>
      <c r="J12" s="2" t="str">
        <f>"编辑中级职称"</f>
        <v>编辑中级职称</v>
      </c>
      <c r="K12" s="2" t="str">
        <f>"2008.07"</f>
        <v>2008.07</v>
      </c>
      <c r="L12" s="2" t="str">
        <f t="shared" ref="L12:L17" si="9">"学士"</f>
        <v>学士</v>
      </c>
      <c r="M12" s="2" t="str">
        <f>"长安大学"</f>
        <v>长安大学</v>
      </c>
      <c r="N12" s="2" t="str">
        <f>"广播电视编导"</f>
        <v>广播电视编导</v>
      </c>
      <c r="O12" s="2" t="str">
        <f t="shared" si="3"/>
        <v>本科</v>
      </c>
      <c r="P12" s="2" t="str">
        <f>"163cm"</f>
        <v>163cm</v>
      </c>
      <c r="Q12" s="2" t="str">
        <f>"如皋市广播电视台"</f>
        <v>如皋市广播电视台</v>
      </c>
      <c r="R12" s="2" t="str">
        <f>"2008.07"</f>
        <v>2008.07</v>
      </c>
      <c r="S12" s="2" t="str">
        <f>"江苏省如皋市惠政东路188号如皋市文广传媒集团"</f>
        <v>江苏省如皋市惠政东路188号如皋市文广传媒集团</v>
      </c>
      <c r="T12" s="2" t="str">
        <f t="shared" si="6"/>
        <v>226500</v>
      </c>
      <c r="U12" s="2" t="str">
        <f>"87179555"</f>
        <v>87179555</v>
      </c>
      <c r="V12" s="2" t="str">
        <f>"15162759606"</f>
        <v>15162759606</v>
      </c>
      <c r="W12" s="2" t="str">
        <f>"二甲"</f>
        <v>二甲</v>
      </c>
      <c r="X12" s="2" t="str">
        <f t="shared" si="4"/>
        <v>否</v>
      </c>
      <c r="Y12" s="2" t="str">
        <f>"英语六级"</f>
        <v>英语六级</v>
      </c>
      <c r="Z12" s="2" t="str">
        <f>"熟练掌握办公应用软件"</f>
        <v>熟练掌握办公应用软件</v>
      </c>
      <c r="AA12" s="2" t="str">
        <f>"丈夫|宗红军|江苏陆地方舟新能源电动汽车有限公司|||||||||"</f>
        <v>丈夫|宗红军|江苏陆地方舟新能源电动汽车有限公司|||||||||</v>
      </c>
      <c r="AB12" s="2" t="str">
        <f>"2001.09-2004.06 如皋市江安高级中学 学生_x000D_
2004.09-2008.07 长安大学人文学院广播电视编导专业 学生_x000D_
2008.07至今 如皋市广播电视台 员工"</f>
        <v>2001.09-2004.06 如皋市江安高级中学 学生_x000D_
2004.09-2008.07 长安大学人文学院广播电视编导专业 学生_x000D_
2008.07至今 如皋市广播电视台 员工</v>
      </c>
      <c r="AC12" s="2" t="str">
        <f>"无"</f>
        <v>无</v>
      </c>
      <c r="AD12" s="2" t="str">
        <f>""</f>
        <v/>
      </c>
      <c r="AE12" s="4">
        <v>43430.433807870373</v>
      </c>
      <c r="AF12" s="2">
        <v>1</v>
      </c>
      <c r="AG12" s="2">
        <v>1</v>
      </c>
      <c r="AH12" s="2">
        <v>2</v>
      </c>
      <c r="AI12" s="2" t="str">
        <f>"18002028310"</f>
        <v>18002028310</v>
      </c>
      <c r="AJ12" s="2">
        <v>83</v>
      </c>
      <c r="AK12" s="2">
        <v>10</v>
      </c>
      <c r="AL12" s="2" t="s">
        <v>42</v>
      </c>
      <c r="AM12" s="2" t="s">
        <v>43</v>
      </c>
      <c r="AN12" s="2">
        <v>2</v>
      </c>
      <c r="AO12" s="2">
        <v>4065</v>
      </c>
      <c r="AP12" s="2" t="s">
        <v>50</v>
      </c>
      <c r="AQ12" s="2"/>
      <c r="AR12" s="2" t="s">
        <v>103</v>
      </c>
      <c r="AS12" s="3" t="s">
        <v>108</v>
      </c>
      <c r="AT12" s="2">
        <v>50</v>
      </c>
      <c r="AU12" s="2">
        <v>28.5</v>
      </c>
      <c r="AV12" s="6">
        <f t="shared" si="5"/>
        <v>78.5</v>
      </c>
      <c r="AW12" s="2">
        <v>1</v>
      </c>
      <c r="AX12" s="2"/>
      <c r="AY12" s="2"/>
    </row>
    <row r="13" spans="1:51" ht="18.75" customHeight="1">
      <c r="A13" t="str">
        <f>"1002201811271819344049"</f>
        <v>1002201811271819344049</v>
      </c>
      <c r="B13" s="9">
        <v>11</v>
      </c>
      <c r="C13" s="2" t="s">
        <v>47</v>
      </c>
      <c r="D13" s="2" t="str">
        <f>"贾思雅"</f>
        <v>贾思雅</v>
      </c>
      <c r="E13" s="2" t="str">
        <f t="shared" si="8"/>
        <v>女</v>
      </c>
      <c r="F13" s="2" t="str">
        <f>"1988-07-23"</f>
        <v>1988-07-23</v>
      </c>
      <c r="G13" s="2" t="str">
        <f>"320682198807230025"</f>
        <v>320682198807230025</v>
      </c>
      <c r="H13" s="2" t="str">
        <f>"江苏如皋"</f>
        <v>江苏如皋</v>
      </c>
      <c r="I13" s="2" t="str">
        <f t="shared" si="1"/>
        <v>非应届生</v>
      </c>
      <c r="J13" s="2" t="str">
        <f>"助理编辑"</f>
        <v>助理编辑</v>
      </c>
      <c r="K13" s="2" t="str">
        <f>"2011.06"</f>
        <v>2011.06</v>
      </c>
      <c r="L13" s="2" t="str">
        <f t="shared" si="9"/>
        <v>学士</v>
      </c>
      <c r="M13" s="2" t="str">
        <f>"聊城大学"</f>
        <v>聊城大学</v>
      </c>
      <c r="N13" s="2" t="str">
        <f>"汉语言文学"</f>
        <v>汉语言文学</v>
      </c>
      <c r="O13" s="2" t="str">
        <f t="shared" si="3"/>
        <v>本科</v>
      </c>
      <c r="P13" s="2" t="str">
        <f>"163"</f>
        <v>163</v>
      </c>
      <c r="Q13" s="2" t="str">
        <f>"如皋市文广传媒集团"</f>
        <v>如皋市文广传媒集团</v>
      </c>
      <c r="R13" s="2" t="str">
        <f>"2013.01"</f>
        <v>2013.01</v>
      </c>
      <c r="S13" s="2" t="str">
        <f>"江苏省如皋市如城镇仙鹤新村12#203"</f>
        <v>江苏省如皋市如城镇仙鹤新村12#203</v>
      </c>
      <c r="T13" s="2" t="str">
        <f t="shared" si="6"/>
        <v>226500</v>
      </c>
      <c r="U13" s="2" t="str">
        <f>"0513—87511756"</f>
        <v>0513—87511756</v>
      </c>
      <c r="V13" s="2" t="str">
        <f>"13773817822"</f>
        <v>13773817822</v>
      </c>
      <c r="W13" s="2" t="str">
        <f>"二级甲等"</f>
        <v>二级甲等</v>
      </c>
      <c r="X13" s="2" t="str">
        <f t="shared" si="4"/>
        <v>否</v>
      </c>
      <c r="Y13" s="2" t="str">
        <f>"英语四级"</f>
        <v>英语四级</v>
      </c>
      <c r="Z13" s="2" t="str">
        <f>"熟练"</f>
        <v>熟练</v>
      </c>
      <c r="AA13" s="2" t="str">
        <f>"父亲|贾宏建|江苏九鼎集团|母亲|杨宝银|江苏九鼎集团||||||"</f>
        <v>父亲|贾宏建|江苏九鼎集团|母亲|杨宝银|江苏九鼎集团||||||</v>
      </c>
      <c r="AB13" s="2" t="str">
        <f>"2004.09-2007.06 如皋市第一中学 学生_x000D_
2007.09-2011.06 聊城大学 汉语言文学专业 学生_x000D_
2013.01-至今 如皋市文广传媒集团 记者"</f>
        <v>2004.09-2007.06 如皋市第一中学 学生_x000D_
2007.09-2011.06 聊城大学 汉语言文学专业 学生_x000D_
2013.01-至今 如皋市文广传媒集团 记者</v>
      </c>
      <c r="AC13" s="2" t="str">
        <f>"助理编辑职称"</f>
        <v>助理编辑职称</v>
      </c>
      <c r="AD13" s="2" t="str">
        <f>""</f>
        <v/>
      </c>
      <c r="AE13" s="4">
        <v>43430.424722222226</v>
      </c>
      <c r="AF13" s="2">
        <v>1</v>
      </c>
      <c r="AG13" s="2">
        <v>1</v>
      </c>
      <c r="AH13" s="2">
        <v>3</v>
      </c>
      <c r="AI13" s="2" t="str">
        <f>"18002029412"</f>
        <v>18002029412</v>
      </c>
      <c r="AJ13" s="2">
        <v>94</v>
      </c>
      <c r="AK13" s="2">
        <v>12</v>
      </c>
      <c r="AL13" s="2" t="s">
        <v>42</v>
      </c>
      <c r="AM13" s="2" t="s">
        <v>43</v>
      </c>
      <c r="AN13" s="2">
        <v>2</v>
      </c>
      <c r="AO13" s="2">
        <v>9899</v>
      </c>
      <c r="AP13" s="2" t="s">
        <v>48</v>
      </c>
      <c r="AQ13" s="2"/>
      <c r="AR13" s="2" t="s">
        <v>103</v>
      </c>
      <c r="AS13" s="3" t="s">
        <v>108</v>
      </c>
      <c r="AT13" s="2">
        <v>46.5</v>
      </c>
      <c r="AU13" s="2">
        <v>28</v>
      </c>
      <c r="AV13" s="6">
        <f t="shared" si="5"/>
        <v>74.5</v>
      </c>
      <c r="AW13" s="2">
        <v>2</v>
      </c>
      <c r="AX13" s="2"/>
      <c r="AY13" s="2"/>
    </row>
    <row r="14" spans="1:51" ht="18.75" customHeight="1">
      <c r="A14" t="str">
        <f>"100220181126094533638"</f>
        <v>100220181126094533638</v>
      </c>
      <c r="B14" s="9">
        <v>12</v>
      </c>
      <c r="C14" s="2" t="s">
        <v>47</v>
      </c>
      <c r="D14" s="2" t="str">
        <f>"陈群"</f>
        <v>陈群</v>
      </c>
      <c r="E14" s="2" t="str">
        <f t="shared" si="8"/>
        <v>女</v>
      </c>
      <c r="F14" s="2" t="str">
        <f>"1996-08-01"</f>
        <v>1996-08-01</v>
      </c>
      <c r="G14" s="2" t="str">
        <f>"320682199608012046"</f>
        <v>320682199608012046</v>
      </c>
      <c r="H14" s="2" t="str">
        <f>"江苏省如皋市"</f>
        <v>江苏省如皋市</v>
      </c>
      <c r="I14" s="2" t="str">
        <f t="shared" si="1"/>
        <v>非应届生</v>
      </c>
      <c r="J14" s="2" t="str">
        <f>"无"</f>
        <v>无</v>
      </c>
      <c r="K14" s="2" t="str">
        <f>"2018.06"</f>
        <v>2018.06</v>
      </c>
      <c r="L14" s="2" t="str">
        <f t="shared" si="9"/>
        <v>学士</v>
      </c>
      <c r="M14" s="2" t="str">
        <f>"武汉大学珞珈学院"</f>
        <v>武汉大学珞珈学院</v>
      </c>
      <c r="N14" s="2" t="str">
        <f>"新闻学"</f>
        <v>新闻学</v>
      </c>
      <c r="O14" s="2" t="str">
        <f t="shared" si="3"/>
        <v>本科</v>
      </c>
      <c r="P14" s="2" t="str">
        <f>"165"</f>
        <v>165</v>
      </c>
      <c r="Q14" s="2" t="str">
        <f>"江苏省如皋市文广传媒集团"</f>
        <v>江苏省如皋市文广传媒集团</v>
      </c>
      <c r="R14" s="2" t="str">
        <f>"2018.06"</f>
        <v>2018.06</v>
      </c>
      <c r="S14" s="2" t="str">
        <f>"江苏省如皋市上海新城69幢203室"</f>
        <v>江苏省如皋市上海新城69幢203室</v>
      </c>
      <c r="T14" s="2" t="str">
        <f t="shared" si="6"/>
        <v>226500</v>
      </c>
      <c r="U14" s="2" t="str">
        <f>"无"</f>
        <v>无</v>
      </c>
      <c r="V14" s="2" t="str">
        <f>"15151350435"</f>
        <v>15151350435</v>
      </c>
      <c r="W14" s="2" t="str">
        <f>"二级甲等"</f>
        <v>二级甲等</v>
      </c>
      <c r="X14" s="2" t="str">
        <f t="shared" si="4"/>
        <v>否</v>
      </c>
      <c r="Y14" s="2" t="str">
        <f>"cet-4"</f>
        <v>cet-4</v>
      </c>
      <c r="Z14" s="2" t="str">
        <f>"无"</f>
        <v>无</v>
      </c>
      <c r="AA14" s="2" t="str">
        <f>"父女|陈兵|个体工商户|母女|阚敏玉|个体工商户||||||"</f>
        <v>父女|陈兵|个体工商户|母女|阚敏玉|个体工商户||||||</v>
      </c>
      <c r="AB14" s="2" t="str">
        <f>"2011.09-2014.06 如皋市江安中学 学生_x000D_
2014.09-2018.06 武汉大学珞珈学院新闻学专业 学生_x000D_
2016.09-2018.06 武汉大学法学专业 学生_x000D_
2018.06至今 如皋市文广传媒集团 职员_x000D_
"</f>
        <v xml:space="preserve">2011.09-2014.06 如皋市江安中学 学生_x000D_
2014.09-2018.06 武汉大学珞珈学院新闻学专业 学生_x000D_
2016.09-2018.06 武汉大学法学专业 学生_x000D_
2018.06至今 如皋市文广传媒集团 职员_x000D_
</v>
      </c>
      <c r="AC14" s="2" t="str">
        <f>"无"</f>
        <v>无</v>
      </c>
      <c r="AD14" s="2" t="str">
        <f>""</f>
        <v/>
      </c>
      <c r="AE14" s="4">
        <v>43430.613356481481</v>
      </c>
      <c r="AF14" s="2">
        <v>1</v>
      </c>
      <c r="AG14" s="2">
        <v>1</v>
      </c>
      <c r="AH14" s="2">
        <v>2</v>
      </c>
      <c r="AI14" s="2" t="str">
        <f>"18002028319"</f>
        <v>18002028319</v>
      </c>
      <c r="AJ14" s="2">
        <v>83</v>
      </c>
      <c r="AK14" s="2">
        <v>19</v>
      </c>
      <c r="AL14" s="2" t="s">
        <v>42</v>
      </c>
      <c r="AM14" s="2" t="s">
        <v>43</v>
      </c>
      <c r="AN14" s="2">
        <v>2</v>
      </c>
      <c r="AO14" s="2">
        <v>4665</v>
      </c>
      <c r="AP14" s="2" t="s">
        <v>48</v>
      </c>
      <c r="AQ14" s="2"/>
      <c r="AR14" s="2" t="s">
        <v>103</v>
      </c>
      <c r="AS14" s="3" t="s">
        <v>108</v>
      </c>
      <c r="AT14" s="2">
        <v>50</v>
      </c>
      <c r="AU14" s="2">
        <v>22</v>
      </c>
      <c r="AV14" s="6">
        <f t="shared" si="5"/>
        <v>72</v>
      </c>
      <c r="AW14" s="2">
        <v>3</v>
      </c>
      <c r="AX14" s="2"/>
      <c r="AY14" s="2"/>
    </row>
    <row r="15" spans="1:51" ht="18.75" customHeight="1">
      <c r="A15" t="str">
        <f>"1002201811300825246636"</f>
        <v>1002201811300825246636</v>
      </c>
      <c r="B15" s="9">
        <v>13</v>
      </c>
      <c r="C15" s="2" t="s">
        <v>47</v>
      </c>
      <c r="D15" s="2" t="str">
        <f>"洪绍敏"</f>
        <v>洪绍敏</v>
      </c>
      <c r="E15" s="2" t="str">
        <f t="shared" si="8"/>
        <v>女</v>
      </c>
      <c r="F15" s="2" t="str">
        <f>"1992-09-28"</f>
        <v>1992-09-28</v>
      </c>
      <c r="G15" s="2" t="str">
        <f>"32062319920928006X"</f>
        <v>32062319920928006X</v>
      </c>
      <c r="H15" s="2" t="str">
        <f>"江苏如东"</f>
        <v>江苏如东</v>
      </c>
      <c r="I15" s="2" t="str">
        <f t="shared" si="1"/>
        <v>非应届生</v>
      </c>
      <c r="J15" s="2" t="str">
        <f>"无"</f>
        <v>无</v>
      </c>
      <c r="K15" s="2" t="str">
        <f>"2015.06"</f>
        <v>2015.06</v>
      </c>
      <c r="L15" s="2" t="str">
        <f t="shared" si="9"/>
        <v>学士</v>
      </c>
      <c r="M15" s="2" t="str">
        <f>"浙江传媒学院"</f>
        <v>浙江传媒学院</v>
      </c>
      <c r="N15" s="2" t="str">
        <f>"公共关系学"</f>
        <v>公共关系学</v>
      </c>
      <c r="O15" s="2" t="str">
        <f t="shared" si="3"/>
        <v>本科</v>
      </c>
      <c r="P15" s="2" t="str">
        <f>"157"</f>
        <v>157</v>
      </c>
      <c r="Q15" s="2" t="str">
        <f>"如东县文化广电传媒中心（集团）"</f>
        <v>如东县文化广电传媒中心（集团）</v>
      </c>
      <c r="R15" s="2" t="str">
        <f>"2018.05"</f>
        <v>2018.05</v>
      </c>
      <c r="S15" s="2" t="str">
        <f>"如东高新区名居花苑"</f>
        <v>如东高新区名居花苑</v>
      </c>
      <c r="T15" s="2" t="str">
        <f>"226400"</f>
        <v>226400</v>
      </c>
      <c r="U15" s="2" t="str">
        <f>"无"</f>
        <v>无</v>
      </c>
      <c r="V15" s="2" t="str">
        <f>"18751375590"</f>
        <v>18751375590</v>
      </c>
      <c r="W15" s="2" t="str">
        <f>"二级甲等"</f>
        <v>二级甲等</v>
      </c>
      <c r="X15" s="2" t="str">
        <f t="shared" si="4"/>
        <v>否</v>
      </c>
      <c r="Y15" s="2" t="str">
        <f>"CET4"</f>
        <v>CET4</v>
      </c>
      <c r="Z15" s="2" t="str">
        <f>"计算机二级"</f>
        <v>计算机二级</v>
      </c>
      <c r="AA15" s="2" t="str">
        <f>"父亲|洪祖恩|南通大东有限公司|母亲|薛华 |南通大东有限公司||||||"</f>
        <v>父亲|洪祖恩|南通大东有限公司|母亲|薛华 |南通大东有限公司||||||</v>
      </c>
      <c r="AB15" s="2" t="str">
        <f>"2008.09—2011.06 江苏省如东高级中学 学生_x000D_
2011.09—2015.06 浙江传媒学院 学生_x000D_
2016.07—2017.12 自主创业_x000D_
2018.05至今 如东县文化广电传媒中心（集团） 记者"</f>
        <v>2008.09—2011.06 江苏省如东高级中学 学生_x000D_
2011.09—2015.06 浙江传媒学院 学生_x000D_
2016.07—2017.12 自主创业_x000D_
2018.05至今 如东县文化广电传媒中心（集团） 记者</v>
      </c>
      <c r="AC15" s="2" t="str">
        <f>"无"</f>
        <v>无</v>
      </c>
      <c r="AD15" s="2" t="str">
        <f>""</f>
        <v/>
      </c>
      <c r="AE15" s="4">
        <v>43434.61310185185</v>
      </c>
      <c r="AF15" s="2">
        <v>1</v>
      </c>
      <c r="AG15" s="2">
        <v>1</v>
      </c>
      <c r="AH15" s="2">
        <v>3</v>
      </c>
      <c r="AI15" s="2" t="str">
        <f>"18002028403"</f>
        <v>18002028403</v>
      </c>
      <c r="AJ15" s="2">
        <v>84</v>
      </c>
      <c r="AK15" s="2">
        <v>3</v>
      </c>
      <c r="AL15" s="2" t="s">
        <v>42</v>
      </c>
      <c r="AM15" s="2" t="s">
        <v>43</v>
      </c>
      <c r="AN15" s="2">
        <v>2</v>
      </c>
      <c r="AO15" s="2">
        <v>5895</v>
      </c>
      <c r="AP15" s="2" t="s">
        <v>100</v>
      </c>
      <c r="AQ15" s="2"/>
      <c r="AR15" s="2" t="s">
        <v>103</v>
      </c>
      <c r="AS15" s="3" t="s">
        <v>108</v>
      </c>
      <c r="AT15" s="2">
        <v>46.5</v>
      </c>
      <c r="AU15" s="2">
        <v>24</v>
      </c>
      <c r="AV15" s="6">
        <f t="shared" si="5"/>
        <v>70.5</v>
      </c>
      <c r="AW15" s="2">
        <v>4</v>
      </c>
      <c r="AX15" s="2"/>
      <c r="AY15" s="2"/>
    </row>
    <row r="16" spans="1:51" ht="18.75" customHeight="1">
      <c r="A16" t="str">
        <f>"1002201811262045112812"</f>
        <v>1002201811262045112812</v>
      </c>
      <c r="B16" s="9">
        <v>14</v>
      </c>
      <c r="C16" s="2" t="s">
        <v>47</v>
      </c>
      <c r="D16" s="2" t="str">
        <f>"张颖"</f>
        <v>张颖</v>
      </c>
      <c r="E16" s="2" t="str">
        <f t="shared" si="8"/>
        <v>女</v>
      </c>
      <c r="F16" s="2" t="str">
        <f>"1997-01-12"</f>
        <v>1997-01-12</v>
      </c>
      <c r="G16" s="2" t="str">
        <f>"320682199701123445"</f>
        <v>320682199701123445</v>
      </c>
      <c r="H16" s="2" t="str">
        <f>"江苏省南通市如皋市"</f>
        <v>江苏省南通市如皋市</v>
      </c>
      <c r="I16" s="2" t="str">
        <f>"应届生"</f>
        <v>应届生</v>
      </c>
      <c r="J16" s="2" t="str">
        <f>"无"</f>
        <v>无</v>
      </c>
      <c r="K16" s="2" t="str">
        <f>"2014.06"</f>
        <v>2014.06</v>
      </c>
      <c r="L16" s="2" t="str">
        <f t="shared" si="9"/>
        <v>学士</v>
      </c>
      <c r="M16" s="2" t="str">
        <f>"盐城师范学院"</f>
        <v>盐城师范学院</v>
      </c>
      <c r="N16" s="2" t="str">
        <f>"法语 +小学教育"</f>
        <v>法语 +小学教育</v>
      </c>
      <c r="O16" s="2" t="str">
        <f t="shared" si="3"/>
        <v>本科</v>
      </c>
      <c r="P16" s="2" t="str">
        <f>"158"</f>
        <v>158</v>
      </c>
      <c r="Q16" s="2" t="str">
        <f>"红岭创投电子商务股份有限公司"</f>
        <v>红岭创投电子商务股份有限公司</v>
      </c>
      <c r="R16" s="2" t="str">
        <f>"2014.07.02"</f>
        <v>2014.07.02</v>
      </c>
      <c r="S16" s="2" t="str">
        <f>"江苏省南通市如皋市金九华府14——301"</f>
        <v>江苏省南通市如皋市金九华府14——301</v>
      </c>
      <c r="T16" s="2" t="str">
        <f>"226500"</f>
        <v>226500</v>
      </c>
      <c r="U16" s="2" t="str">
        <f>"13962757062"</f>
        <v>13962757062</v>
      </c>
      <c r="V16" s="2" t="str">
        <f>"18888102212"</f>
        <v>18888102212</v>
      </c>
      <c r="W16" s="2" t="str">
        <f>"二甲"</f>
        <v>二甲</v>
      </c>
      <c r="X16" s="2" t="str">
        <f t="shared" si="4"/>
        <v>否</v>
      </c>
      <c r="Y16" s="2" t="str">
        <f>"大学英语四级"</f>
        <v>大学英语四级</v>
      </c>
      <c r="Z16" s="2" t="str">
        <f>"计算机一级"</f>
        <v>计算机一级</v>
      </c>
      <c r="AA16" s="2" t="str">
        <f>"母女|沈肖梅|郭园镇中心幼儿园|父女|张红波|个体户||||||"</f>
        <v>母女|沈肖梅|郭园镇中心幼儿园|父女|张红波|个体户||||||</v>
      </c>
      <c r="AB16" s="2" t="str">
        <f>"2011.09-2014.06  如皋市第一中学 学生_x000D_
2014.09-2018.06  盐城师范学院外国语学院法语系   学生_x000D_
2015.09-2018.06  盐城师范学院教育科学学院小学教育专业   学生_x000D_
2016.09-2017.02  台湾省国立彰化师范大学文学院英语学系 交换生_x000D_
2018.07至今   红岭创投电子商务股份有限公司  职员"</f>
        <v>2011.09-2014.06  如皋市第一中学 学生_x000D_
2014.09-2018.06  盐城师范学院外国语学院法语系   学生_x000D_
2015.09-2018.06  盐城师范学院教育科学学院小学教育专业   学生_x000D_
2016.09-2017.02  台湾省国立彰化师范大学文学院英语学系 交换生_x000D_
2018.07至今   红岭创投电子商务股份有限公司  职员</v>
      </c>
      <c r="AC16" s="2" t="str">
        <f>"2015.09-2018.06  盐城师范学院教育科学学院小学教育专业   学生"</f>
        <v>2015.09-2018.06  盐城师范学院教育科学学院小学教育专业   学生</v>
      </c>
      <c r="AD16" s="2" t="str">
        <f>""</f>
        <v/>
      </c>
      <c r="AE16" s="4">
        <v>43431.371516203704</v>
      </c>
      <c r="AF16" s="2">
        <v>1</v>
      </c>
      <c r="AG16" s="2">
        <v>1</v>
      </c>
      <c r="AH16" s="2">
        <v>2</v>
      </c>
      <c r="AI16" s="2" t="str">
        <f>"18002028303"</f>
        <v>18002028303</v>
      </c>
      <c r="AJ16" s="2">
        <v>83</v>
      </c>
      <c r="AK16" s="2">
        <v>3</v>
      </c>
      <c r="AL16" s="2" t="s">
        <v>42</v>
      </c>
      <c r="AM16" s="2" t="s">
        <v>43</v>
      </c>
      <c r="AN16" s="2">
        <v>2</v>
      </c>
      <c r="AO16" s="2">
        <v>3533</v>
      </c>
      <c r="AP16" s="2" t="s">
        <v>79</v>
      </c>
      <c r="AQ16" s="2"/>
      <c r="AR16" s="2" t="s">
        <v>103</v>
      </c>
      <c r="AS16" s="3" t="s">
        <v>108</v>
      </c>
      <c r="AT16" s="2">
        <v>46</v>
      </c>
      <c r="AU16" s="2">
        <v>24</v>
      </c>
      <c r="AV16" s="6">
        <f t="shared" si="5"/>
        <v>70</v>
      </c>
      <c r="AW16" s="2">
        <v>5</v>
      </c>
      <c r="AX16" s="2"/>
      <c r="AY16" s="2"/>
    </row>
    <row r="17" spans="1:51" ht="18.75" customHeight="1">
      <c r="A17" t="str">
        <f>"1002201811291000355607"</f>
        <v>1002201811291000355607</v>
      </c>
      <c r="B17" s="9">
        <v>15</v>
      </c>
      <c r="C17" s="2" t="s">
        <v>47</v>
      </c>
      <c r="D17" s="2" t="str">
        <f>"陈婧"</f>
        <v>陈婧</v>
      </c>
      <c r="E17" s="2" t="str">
        <f t="shared" si="8"/>
        <v>女</v>
      </c>
      <c r="F17" s="2" t="str">
        <f>"1996-12-03"</f>
        <v>1996-12-03</v>
      </c>
      <c r="G17" s="2" t="str">
        <f>"320623199612037828"</f>
        <v>320623199612037828</v>
      </c>
      <c r="H17" s="2" t="str">
        <f>"江苏省南通市"</f>
        <v>江苏省南通市</v>
      </c>
      <c r="I17" s="2" t="str">
        <f>"应届生"</f>
        <v>应届生</v>
      </c>
      <c r="J17" s="2" t="str">
        <f>"无"</f>
        <v>无</v>
      </c>
      <c r="K17" s="2" t="str">
        <f>"2019.6"</f>
        <v>2019.6</v>
      </c>
      <c r="L17" s="2" t="str">
        <f t="shared" si="9"/>
        <v>学士</v>
      </c>
      <c r="M17" s="2" t="str">
        <f>"河南工业大学"</f>
        <v>河南工业大学</v>
      </c>
      <c r="N17" s="2" t="str">
        <f>"网络与新媒体"</f>
        <v>网络与新媒体</v>
      </c>
      <c r="O17" s="2" t="str">
        <f t="shared" si="3"/>
        <v>本科</v>
      </c>
      <c r="P17" s="2" t="str">
        <f>"163"</f>
        <v>163</v>
      </c>
      <c r="Q17" s="2" t="str">
        <f>"无"</f>
        <v>无</v>
      </c>
      <c r="R17" s="2" t="str">
        <f>"无"</f>
        <v>无</v>
      </c>
      <c r="S17" s="2" t="str">
        <f>"江苏省南通市如东县马塘镇"</f>
        <v>江苏省南通市如东县马塘镇</v>
      </c>
      <c r="T17" s="2" t="str">
        <f>"226401"</f>
        <v>226401</v>
      </c>
      <c r="U17" s="2" t="str">
        <f>"无"</f>
        <v>无</v>
      </c>
      <c r="V17" s="2" t="str">
        <f>"13253313004"</f>
        <v>13253313004</v>
      </c>
      <c r="W17" s="2" t="str">
        <f>"无"</f>
        <v>无</v>
      </c>
      <c r="X17" s="2" t="str">
        <f t="shared" si="4"/>
        <v>否</v>
      </c>
      <c r="Y17" s="2" t="str">
        <f>"英语六级"</f>
        <v>英语六级</v>
      </c>
      <c r="Z17" s="2" t="str">
        <f>"计算机二级"</f>
        <v>计算机二级</v>
      </c>
      <c r="AA17" s="2" t="str">
        <f>"父亲|王敬东|南通五建|母亲|陈玫珺|南通五建||||||"</f>
        <v>父亲|王敬东|南通五建|母亲|陈玫珺|南通五建||||||</v>
      </c>
      <c r="AB17" s="2" t="str">
        <f>"20120.9-2015.06   如东县马塘中学  学生_x000D_
2015.09-2019.06   河南工业大学   学生"</f>
        <v>20120.9-2015.06   如东县马塘中学  学生_x000D_
2015.09-2019.06   河南工业大学   学生</v>
      </c>
      <c r="AC17" s="2" t="str">
        <f>"有较强语言表达能力和沟通能力_x000D_
大学期间曾获得优秀共青团员证书、三好学生证书、网易青媒计划优秀学员证书、第十届全国大学生广告艺术大赛优秀奖、时报金犊奖优秀奖等"</f>
        <v>有较强语言表达能力和沟通能力_x000D_
大学期间曾获得优秀共青团员证书、三好学生证书、网易青媒计划优秀学员证书、第十届全国大学生广告艺术大赛优秀奖、时报金犊奖优秀奖等</v>
      </c>
      <c r="AD17" s="2" t="str">
        <f>""</f>
        <v/>
      </c>
      <c r="AE17" s="4">
        <v>43433.467534722222</v>
      </c>
      <c r="AF17" s="2">
        <v>1</v>
      </c>
      <c r="AG17" s="2">
        <v>1</v>
      </c>
      <c r="AH17" s="2">
        <v>3</v>
      </c>
      <c r="AI17" s="2" t="str">
        <f>"18002028216"</f>
        <v>18002028216</v>
      </c>
      <c r="AJ17" s="2">
        <v>82</v>
      </c>
      <c r="AK17" s="2">
        <v>16</v>
      </c>
      <c r="AL17" s="2" t="s">
        <v>42</v>
      </c>
      <c r="AM17" s="2" t="s">
        <v>43</v>
      </c>
      <c r="AN17" s="2">
        <v>2</v>
      </c>
      <c r="AO17" s="2">
        <v>1054</v>
      </c>
      <c r="AP17" s="2" t="s">
        <v>96</v>
      </c>
      <c r="AQ17" s="2"/>
      <c r="AR17" s="2" t="s">
        <v>103</v>
      </c>
      <c r="AS17" s="3" t="s">
        <v>108</v>
      </c>
      <c r="AT17" s="2">
        <v>49.5</v>
      </c>
      <c r="AU17" s="2">
        <v>18</v>
      </c>
      <c r="AV17" s="6">
        <f t="shared" si="5"/>
        <v>67.5</v>
      </c>
      <c r="AW17" s="2">
        <v>6</v>
      </c>
      <c r="AX17" s="2"/>
      <c r="AY17" s="2"/>
    </row>
    <row r="18" spans="1:51" ht="18.75" customHeight="1">
      <c r="A18" t="str">
        <f>"100220181126090141117"</f>
        <v>100220181126090141117</v>
      </c>
      <c r="B18" s="9">
        <v>16</v>
      </c>
      <c r="C18" s="2" t="s">
        <v>47</v>
      </c>
      <c r="D18" s="2" t="str">
        <f>"顾忠兵"</f>
        <v>顾忠兵</v>
      </c>
      <c r="E18" s="2" t="str">
        <f>"男"</f>
        <v>男</v>
      </c>
      <c r="F18" s="2" t="str">
        <f>"1982-11-13"</f>
        <v>1982-11-13</v>
      </c>
      <c r="G18" s="2" t="str">
        <f>"320682198211132950"</f>
        <v>320682198211132950</v>
      </c>
      <c r="H18" s="2" t="str">
        <f>"江苏如皋"</f>
        <v>江苏如皋</v>
      </c>
      <c r="I18" s="2" t="str">
        <f>"非应届生"</f>
        <v>非应届生</v>
      </c>
      <c r="J18" s="2" t="str">
        <f>"记者(中级)"</f>
        <v>记者(中级)</v>
      </c>
      <c r="K18" s="2" t="str">
        <f>"2006.8"</f>
        <v>2006.8</v>
      </c>
      <c r="L18" s="2" t="str">
        <f>"无"</f>
        <v>无</v>
      </c>
      <c r="M18" s="2" t="str">
        <f>"江苏广播电视大学"</f>
        <v>江苏广播电视大学</v>
      </c>
      <c r="N18" s="2" t="str">
        <f>"广播电视编导"</f>
        <v>广播电视编导</v>
      </c>
      <c r="O18" s="2" t="str">
        <f t="shared" si="3"/>
        <v>本科</v>
      </c>
      <c r="P18" s="2" t="str">
        <f>"170"</f>
        <v>170</v>
      </c>
      <c r="Q18" s="2" t="str">
        <f>"如皋市文广传媒集团"</f>
        <v>如皋市文广传媒集团</v>
      </c>
      <c r="R18" s="2" t="str">
        <f>"2006.8"</f>
        <v>2006.8</v>
      </c>
      <c r="S18" s="2" t="str">
        <f>"高新区惠政东路188号文广传媒集团"</f>
        <v>高新区惠政东路188号文广传媒集团</v>
      </c>
      <c r="T18" s="2" t="str">
        <f>"226500"</f>
        <v>226500</v>
      </c>
      <c r="U18" s="2" t="str">
        <f>"051387658897"</f>
        <v>051387658897</v>
      </c>
      <c r="V18" s="2" t="str">
        <f>"15996600591"</f>
        <v>15996600591</v>
      </c>
      <c r="W18" s="2" t="str">
        <f>"三级乙等"</f>
        <v>三级乙等</v>
      </c>
      <c r="X18" s="2" t="str">
        <f t="shared" si="4"/>
        <v>否</v>
      </c>
      <c r="Y18" s="2" t="str">
        <f>"英语三级"</f>
        <v>英语三级</v>
      </c>
      <c r="Z18" s="2" t="str">
        <f>"江苏省初级"</f>
        <v>江苏省初级</v>
      </c>
      <c r="AA18" s="2" t="str">
        <f>"妻子|陆丽|南通高等师范学校|||||||||"</f>
        <v>妻子|陆丽|南通高等师范学校|||||||||</v>
      </c>
      <c r="AB18" s="2" t="str">
        <f>"1999.09-2002.06 如皋市第一职业高级中学 学生_x000D_
2002.09-2006.06 江苏广播电视大学 学生_x000D_
2006.08至今先后如皋市教育电视台、如皋市新闻传媒中心、如皋市文广传媒集团 记者"</f>
        <v>1999.09-2002.06 如皋市第一职业高级中学 学生_x000D_
2002.09-2006.06 江苏广播电视大学 学生_x000D_
2006.08至今先后如皋市教育电视台、如皋市新闻传媒中心、如皋市文广传媒集团 记者</v>
      </c>
      <c r="AC18" s="2" t="str">
        <f>"无"</f>
        <v>无</v>
      </c>
      <c r="AD18" s="2" t="str">
        <f>""</f>
        <v/>
      </c>
      <c r="AE18" s="4">
        <v>43431.608738425923</v>
      </c>
      <c r="AF18" s="2">
        <v>1</v>
      </c>
      <c r="AG18" s="2">
        <v>1</v>
      </c>
      <c r="AH18" s="2">
        <v>2</v>
      </c>
      <c r="AI18" s="2" t="str">
        <f>"18002028423"</f>
        <v>18002028423</v>
      </c>
      <c r="AJ18" s="2">
        <v>84</v>
      </c>
      <c r="AK18" s="2">
        <v>23</v>
      </c>
      <c r="AL18" s="2" t="s">
        <v>42</v>
      </c>
      <c r="AM18" s="2" t="s">
        <v>43</v>
      </c>
      <c r="AN18" s="2">
        <v>2</v>
      </c>
      <c r="AO18" s="2">
        <v>7910</v>
      </c>
      <c r="AP18" s="2" t="s">
        <v>48</v>
      </c>
      <c r="AQ18" s="2"/>
      <c r="AR18" s="2" t="s">
        <v>103</v>
      </c>
      <c r="AS18" s="3" t="s">
        <v>108</v>
      </c>
      <c r="AT18" s="2">
        <v>48.5</v>
      </c>
      <c r="AU18" s="2">
        <v>18</v>
      </c>
      <c r="AV18" s="6">
        <f t="shared" si="5"/>
        <v>66.5</v>
      </c>
      <c r="AW18" s="2">
        <v>7</v>
      </c>
      <c r="AX18" s="2"/>
      <c r="AY18" s="2"/>
    </row>
    <row r="19" spans="1:51" ht="18.75" customHeight="1">
      <c r="A19" t="str">
        <f>"1002201811271916484125"</f>
        <v>1002201811271916484125</v>
      </c>
      <c r="B19" s="9">
        <v>17</v>
      </c>
      <c r="C19" s="2" t="s">
        <v>47</v>
      </c>
      <c r="D19" s="2" t="str">
        <f>"史玉蓉"</f>
        <v>史玉蓉</v>
      </c>
      <c r="E19" s="2" t="str">
        <f>"女"</f>
        <v>女</v>
      </c>
      <c r="F19" s="2" t="str">
        <f>"1997-01-31"</f>
        <v>1997-01-31</v>
      </c>
      <c r="G19" s="2" t="str">
        <f>"320682199701317805"</f>
        <v>320682199701317805</v>
      </c>
      <c r="H19" s="2" t="str">
        <f>"如皋"</f>
        <v>如皋</v>
      </c>
      <c r="I19" s="2" t="str">
        <f>"应届生"</f>
        <v>应届生</v>
      </c>
      <c r="J19" s="2" t="str">
        <f t="shared" ref="J19:J20" si="10">"无"</f>
        <v>无</v>
      </c>
      <c r="K19" s="2" t="str">
        <f>"2019.07"</f>
        <v>2019.07</v>
      </c>
      <c r="L19" s="2" t="str">
        <f>"学士"</f>
        <v>学士</v>
      </c>
      <c r="M19" s="2" t="str">
        <f>"南京体育学院"</f>
        <v>南京体育学院</v>
      </c>
      <c r="N19" s="2" t="str">
        <f>"新闻学"</f>
        <v>新闻学</v>
      </c>
      <c r="O19" s="2" t="str">
        <f t="shared" si="3"/>
        <v>本科</v>
      </c>
      <c r="P19" s="2" t="str">
        <f>"161"</f>
        <v>161</v>
      </c>
      <c r="Q19" s="2" t="str">
        <f>"无"</f>
        <v>无</v>
      </c>
      <c r="R19" s="2" t="str">
        <f>"无"</f>
        <v>无</v>
      </c>
      <c r="S19" s="2" t="str">
        <f>"江苏省南通市如皋市如城镇光华村九组六号"</f>
        <v>江苏省南通市如皋市如城镇光华村九组六号</v>
      </c>
      <c r="T19" s="2" t="str">
        <f>"226500"</f>
        <v>226500</v>
      </c>
      <c r="U19" s="2" t="str">
        <f>"87772952"</f>
        <v>87772952</v>
      </c>
      <c r="V19" s="2" t="str">
        <f>"18862738328"</f>
        <v>18862738328</v>
      </c>
      <c r="W19" s="2" t="str">
        <f>"二级乙等"</f>
        <v>二级乙等</v>
      </c>
      <c r="X19" s="2" t="str">
        <f t="shared" si="4"/>
        <v>否</v>
      </c>
      <c r="Y19" s="2" t="str">
        <f>"四级"</f>
        <v>四级</v>
      </c>
      <c r="Z19" s="2" t="str">
        <f>"一级"</f>
        <v>一级</v>
      </c>
      <c r="AA19" s="2" t="str">
        <f>"父亲|史长龙|江苏省如皋市磨头镇华夏花卉市场五期阿龙园艺|母亲|石炳梅|江苏省如皋市磨头镇华夏花卉五期阿龙园艺||||||"</f>
        <v>父亲|史长龙|江苏省如皋市磨头镇华夏花卉市场五期阿龙园艺|母亲|石炳梅|江苏省如皋市磨头镇华夏花卉五期阿龙园艺||||||</v>
      </c>
      <c r="AB19" s="2" t="str">
        <f>"2012.09-2015.06 如皋市搬经中学_x000D_
2015.09-2019.07 南京体育学院体育新闻专业 学生"</f>
        <v>2012.09-2015.06 如皋市搬经中学_x000D_
2015.09-2019.07 南京体育学院体育新闻专业 学生</v>
      </c>
      <c r="AC19" s="2" t="str">
        <f>"对照《简章》要求本人所具备的其他岗位条件"</f>
        <v>对照《简章》要求本人所具备的其他岗位条件</v>
      </c>
      <c r="AD19" s="2" t="str">
        <f>""</f>
        <v/>
      </c>
      <c r="AE19" s="4">
        <v>43434.391006944446</v>
      </c>
      <c r="AF19" s="2">
        <v>1</v>
      </c>
      <c r="AG19" s="2">
        <v>1</v>
      </c>
      <c r="AH19" s="2">
        <v>2</v>
      </c>
      <c r="AI19" s="2" t="str">
        <f>"18002028229"</f>
        <v>18002028229</v>
      </c>
      <c r="AJ19" s="2">
        <v>82</v>
      </c>
      <c r="AK19" s="2">
        <v>29</v>
      </c>
      <c r="AL19" s="2" t="s">
        <v>42</v>
      </c>
      <c r="AM19" s="2" t="s">
        <v>43</v>
      </c>
      <c r="AN19" s="2">
        <v>2</v>
      </c>
      <c r="AO19" s="2">
        <v>3120</v>
      </c>
      <c r="AP19" s="2" t="s">
        <v>90</v>
      </c>
      <c r="AQ19" s="2"/>
      <c r="AR19" s="2" t="s">
        <v>103</v>
      </c>
      <c r="AS19" s="3" t="s">
        <v>108</v>
      </c>
      <c r="AT19" s="2">
        <v>44.5</v>
      </c>
      <c r="AU19" s="2">
        <v>21</v>
      </c>
      <c r="AV19" s="6">
        <f t="shared" si="5"/>
        <v>65.5</v>
      </c>
      <c r="AW19" s="2">
        <v>8</v>
      </c>
      <c r="AX19" s="2"/>
      <c r="AY19" s="2"/>
    </row>
    <row r="20" spans="1:51" ht="18.75" customHeight="1">
      <c r="A20" t="str">
        <f>"100220181126092707440"</f>
        <v>100220181126092707440</v>
      </c>
      <c r="B20" s="9">
        <v>18</v>
      </c>
      <c r="C20" s="2" t="s">
        <v>47</v>
      </c>
      <c r="D20" s="2" t="str">
        <f>"黄宰杰"</f>
        <v>黄宰杰</v>
      </c>
      <c r="E20" s="2" t="str">
        <f>"男"</f>
        <v>男</v>
      </c>
      <c r="F20" s="2" t="str">
        <f>"1994-11-06"</f>
        <v>1994-11-06</v>
      </c>
      <c r="G20" s="2" t="str">
        <f>"320683199411068018"</f>
        <v>320683199411068018</v>
      </c>
      <c r="H20" s="2" t="str">
        <f>"江苏南通"</f>
        <v>江苏南通</v>
      </c>
      <c r="I20" s="2" t="str">
        <f t="shared" ref="I20:I26" si="11">"非应届生"</f>
        <v>非应届生</v>
      </c>
      <c r="J20" s="2" t="str">
        <f t="shared" si="10"/>
        <v>无</v>
      </c>
      <c r="K20" s="2" t="str">
        <f>"2016.06"</f>
        <v>2016.06</v>
      </c>
      <c r="L20" s="2" t="str">
        <f>"无"</f>
        <v>无</v>
      </c>
      <c r="M20" s="2" t="str">
        <f>"江苏第二师范学院"</f>
        <v>江苏第二师范学院</v>
      </c>
      <c r="N20" s="2" t="str">
        <f>"历史教育"</f>
        <v>历史教育</v>
      </c>
      <c r="O20" s="2" t="str">
        <f t="shared" si="3"/>
        <v>本科</v>
      </c>
      <c r="P20" s="2" t="str">
        <f>"173"</f>
        <v>173</v>
      </c>
      <c r="Q20" s="2" t="str">
        <f>"扬州市宝应县射阳湖镇政府"</f>
        <v>扬州市宝应县射阳湖镇政府</v>
      </c>
      <c r="R20" s="2" t="str">
        <f>"2016.09"</f>
        <v>2016.09</v>
      </c>
      <c r="S20" s="2" t="str">
        <f>"南通市通州区张芝山镇通启桥村31组31号"</f>
        <v>南通市通州区张芝山镇通启桥村31组31号</v>
      </c>
      <c r="T20" s="2" t="str">
        <f>"226361"</f>
        <v>226361</v>
      </c>
      <c r="U20" s="2" t="str">
        <f>"无"</f>
        <v>无</v>
      </c>
      <c r="V20" s="2" t="str">
        <f>"18068600081"</f>
        <v>18068600081</v>
      </c>
      <c r="W20" s="2" t="str">
        <f>"二级甲等"</f>
        <v>二级甲等</v>
      </c>
      <c r="X20" s="2" t="str">
        <f t="shared" si="4"/>
        <v>否</v>
      </c>
      <c r="Y20" s="2" t="str">
        <f>"无"</f>
        <v>无</v>
      </c>
      <c r="Z20" s="2" t="str">
        <f>"无"</f>
        <v>无</v>
      </c>
      <c r="AA20" s="2" t="str">
        <f>"父子|黄笑艺|南通建龙商品混凝土公司|母子|施利花|无||||||"</f>
        <v>父子|黄笑艺|南通建龙商品混凝土公司|母子|施利花|无||||||</v>
      </c>
      <c r="AB20" s="2" t="str">
        <f>"2010.09-2015.06 江苏第二师范学院小学教育专业 学生_x000D_
2015.06-2016.09 待业（江苏第二师范学院历史教育专业自考本科毕业）_x000D_
2016.09-2017.04 南通市崇川区城东街道德民社区 邻里社干_x000D_
2017.04-2017.10 南通市崇川区城东街道郭里园社区 邻里社干_x000D_
2017.10-2018.08 南通市东华塔陵园管理处 办公室办事员_x000D_
2018.08-至今 扬州市宝应县射阳湖镇 党政办办事员"</f>
        <v>2010.09-2015.06 江苏第二师范学院小学教育专业 学生_x000D_
2015.06-2016.09 待业（江苏第二师范学院历史教育专业自考本科毕业）_x000D_
2016.09-2017.04 南通市崇川区城东街道德民社区 邻里社干_x000D_
2017.04-2017.10 南通市崇川区城东街道郭里园社区 邻里社干_x000D_
2017.10-2018.08 南通市东华塔陵园管理处 办公室办事员_x000D_
2018.08-至今 扬州市宝应县射阳湖镇 党政办办事员</v>
      </c>
      <c r="AC20" s="2" t="str">
        <f>"无"</f>
        <v>无</v>
      </c>
      <c r="AD20" s="2" t="str">
        <f>""</f>
        <v/>
      </c>
      <c r="AE20" s="4">
        <v>43430.460914351854</v>
      </c>
      <c r="AF20" s="2">
        <v>1</v>
      </c>
      <c r="AG20" s="2">
        <v>1</v>
      </c>
      <c r="AH20" s="2">
        <v>4</v>
      </c>
      <c r="AI20" s="2" t="str">
        <f>"18002028219"</f>
        <v>18002028219</v>
      </c>
      <c r="AJ20" s="2">
        <v>82</v>
      </c>
      <c r="AK20" s="2">
        <v>19</v>
      </c>
      <c r="AL20" s="2" t="s">
        <v>42</v>
      </c>
      <c r="AM20" s="2" t="s">
        <v>43</v>
      </c>
      <c r="AN20" s="2">
        <v>2</v>
      </c>
      <c r="AO20" s="2">
        <v>1278</v>
      </c>
      <c r="AP20" s="2" t="s">
        <v>58</v>
      </c>
      <c r="AQ20" s="2"/>
      <c r="AR20" s="2" t="s">
        <v>103</v>
      </c>
      <c r="AS20" s="3" t="s">
        <v>108</v>
      </c>
      <c r="AT20" s="2">
        <v>47.5</v>
      </c>
      <c r="AU20" s="2">
        <v>18</v>
      </c>
      <c r="AV20" s="6">
        <f t="shared" si="5"/>
        <v>65.5</v>
      </c>
      <c r="AW20" s="2">
        <v>8</v>
      </c>
      <c r="AX20" s="2"/>
      <c r="AY20" s="2"/>
    </row>
    <row r="21" spans="1:51" ht="18.75" customHeight="1">
      <c r="A21" t="str">
        <f>"100220181126092353408"</f>
        <v>100220181126092353408</v>
      </c>
      <c r="B21" s="9">
        <v>19</v>
      </c>
      <c r="C21" s="2" t="s">
        <v>44</v>
      </c>
      <c r="D21" s="2" t="str">
        <f>"焦伟钢"</f>
        <v>焦伟钢</v>
      </c>
      <c r="E21" s="2" t="str">
        <f>"男"</f>
        <v>男</v>
      </c>
      <c r="F21" s="2" t="str">
        <f>"1992-04-12"</f>
        <v>1992-04-12</v>
      </c>
      <c r="G21" s="2" t="str">
        <f>"321281199204126656"</f>
        <v>321281199204126656</v>
      </c>
      <c r="H21" s="2" t="str">
        <f>"江苏省泰州市兴化市"</f>
        <v>江苏省泰州市兴化市</v>
      </c>
      <c r="I21" s="2" t="str">
        <f t="shared" si="11"/>
        <v>非应届生</v>
      </c>
      <c r="J21" s="2" t="str">
        <f>"无"</f>
        <v>无</v>
      </c>
      <c r="K21" s="2" t="str">
        <f>"2015.6"</f>
        <v>2015.6</v>
      </c>
      <c r="L21" s="2" t="str">
        <f t="shared" ref="L21:L23" si="12">"学士"</f>
        <v>学士</v>
      </c>
      <c r="M21" s="2" t="str">
        <f>"南京工业大学"</f>
        <v>南京工业大学</v>
      </c>
      <c r="N21" s="2" t="str">
        <f>"电子信息工程"</f>
        <v>电子信息工程</v>
      </c>
      <c r="O21" s="2" t="str">
        <f t="shared" si="3"/>
        <v>本科</v>
      </c>
      <c r="P21" s="2" t="str">
        <f>"175"</f>
        <v>175</v>
      </c>
      <c r="Q21" s="2" t="str">
        <f>"无"</f>
        <v>无</v>
      </c>
      <c r="R21" s="2" t="str">
        <f>"2015.7"</f>
        <v>2015.7</v>
      </c>
      <c r="S21" s="2" t="str">
        <f>"如皋市新北小区203栋201"</f>
        <v>如皋市新北小区203栋201</v>
      </c>
      <c r="T21" s="2" t="str">
        <f>"226500"</f>
        <v>226500</v>
      </c>
      <c r="U21" s="2" t="str">
        <f>"13801587642"</f>
        <v>13801587642</v>
      </c>
      <c r="V21" s="2" t="str">
        <f>"13801587642"</f>
        <v>13801587642</v>
      </c>
      <c r="W21" s="2" t="str">
        <f t="shared" ref="W21:W27" si="13">"无"</f>
        <v>无</v>
      </c>
      <c r="X21" s="2" t="str">
        <f t="shared" si="4"/>
        <v>否</v>
      </c>
      <c r="Y21" s="2" t="str">
        <f>"CET4"</f>
        <v>CET4</v>
      </c>
      <c r="Z21" s="2" t="str">
        <f>"熟悉"</f>
        <v>熟悉</v>
      </c>
      <c r="AA21" s="2" t="str">
        <f>"妻子|周亚楠|如皋经济技术开发区人力资源和社会保障局|父亲|焦建宏|船员|母亲|徐桂红|船员|||"</f>
        <v>妻子|周亚楠|如皋经济技术开发区人力资源和社会保障局|父亲|焦建宏|船员|母亲|徐桂红|船员|||</v>
      </c>
      <c r="AB21" s="2" t="str">
        <f>"2008.09-2011.06 江苏省东台中学 学生_x000D_
2011.09-2015.06 南京工业大学电子与信息工程学院电子信息工程专业 学生_x000D_
2015.07-2016.02 南京乾乾信息科技有限公司 职员"</f>
        <v>2008.09-2011.06 江苏省东台中学 学生_x000D_
2011.09-2015.06 南京工业大学电子与信息工程学院电子信息工程专业 学生_x000D_
2015.07-2016.02 南京乾乾信息科技有限公司 职员</v>
      </c>
      <c r="AC21" s="2" t="str">
        <f>"有三年新媒体相关工作经验"</f>
        <v>有三年新媒体相关工作经验</v>
      </c>
      <c r="AD21" s="2" t="str">
        <f>""</f>
        <v/>
      </c>
      <c r="AE21" s="4">
        <v>43433.623888888891</v>
      </c>
      <c r="AF21" s="2">
        <v>1</v>
      </c>
      <c r="AG21" s="2">
        <v>1</v>
      </c>
      <c r="AH21" s="2">
        <v>2</v>
      </c>
      <c r="AI21" s="2" t="str">
        <f>"18002028709"</f>
        <v>18002028709</v>
      </c>
      <c r="AJ21" s="2">
        <v>87</v>
      </c>
      <c r="AK21" s="2">
        <v>9</v>
      </c>
      <c r="AL21" s="2" t="s">
        <v>42</v>
      </c>
      <c r="AM21" s="2" t="s">
        <v>43</v>
      </c>
      <c r="AN21" s="2">
        <v>2</v>
      </c>
      <c r="AO21" s="2">
        <v>7606</v>
      </c>
      <c r="AP21" s="2" t="s">
        <v>84</v>
      </c>
      <c r="AQ21" s="2"/>
      <c r="AR21" s="2" t="s">
        <v>104</v>
      </c>
      <c r="AS21" s="3" t="s">
        <v>109</v>
      </c>
      <c r="AT21" s="2">
        <v>86</v>
      </c>
      <c r="AU21" s="2" t="s">
        <v>117</v>
      </c>
      <c r="AV21" s="6">
        <f t="shared" ref="AV21:AV27" si="14">AT21</f>
        <v>86</v>
      </c>
      <c r="AW21" s="2">
        <v>1</v>
      </c>
      <c r="AX21" s="2"/>
      <c r="AY21" s="2"/>
    </row>
    <row r="22" spans="1:51" ht="18.75" customHeight="1">
      <c r="A22" t="str">
        <f>"1002201811262106352852"</f>
        <v>1002201811262106352852</v>
      </c>
      <c r="B22" s="9">
        <v>20</v>
      </c>
      <c r="C22" s="2" t="s">
        <v>44</v>
      </c>
      <c r="D22" s="2" t="str">
        <f>"丁阳"</f>
        <v>丁阳</v>
      </c>
      <c r="E22" s="2" t="str">
        <f>"女"</f>
        <v>女</v>
      </c>
      <c r="F22" s="2" t="str">
        <f>"1989-09-28"</f>
        <v>1989-09-28</v>
      </c>
      <c r="G22" s="2" t="str">
        <f>"320682198909288965"</f>
        <v>320682198909288965</v>
      </c>
      <c r="H22" s="2" t="str">
        <f>"江苏如皋"</f>
        <v>江苏如皋</v>
      </c>
      <c r="I22" s="2" t="str">
        <f t="shared" si="11"/>
        <v>非应届生</v>
      </c>
      <c r="J22" s="2" t="str">
        <f>"软件设计师"</f>
        <v>软件设计师</v>
      </c>
      <c r="K22" s="2" t="str">
        <f>"2011.07"</f>
        <v>2011.07</v>
      </c>
      <c r="L22" s="2" t="str">
        <f t="shared" si="12"/>
        <v>学士</v>
      </c>
      <c r="M22" s="2" t="str">
        <f>"苏州科技学院"</f>
        <v>苏州科技学院</v>
      </c>
      <c r="N22" s="2" t="str">
        <f>"计算机科学与技术啊"</f>
        <v>计算机科学与技术啊</v>
      </c>
      <c r="O22" s="2" t="str">
        <f t="shared" si="3"/>
        <v>本科</v>
      </c>
      <c r="P22" s="2" t="str">
        <f>"158"</f>
        <v>158</v>
      </c>
      <c r="Q22" s="2" t="str">
        <f>"如皋市文广传媒集团"</f>
        <v>如皋市文广传媒集团</v>
      </c>
      <c r="R22" s="2" t="str">
        <f>"2011.10"</f>
        <v>2011.10</v>
      </c>
      <c r="S22" s="2" t="str">
        <f>"江苏省如皋市世纪佳园10-503"</f>
        <v>江苏省如皋市世纪佳园10-503</v>
      </c>
      <c r="T22" s="2" t="str">
        <f>"226500"</f>
        <v>226500</v>
      </c>
      <c r="U22" s="2" t="str">
        <f>"0513-85375828"</f>
        <v>0513-85375828</v>
      </c>
      <c r="V22" s="2" t="str">
        <f>"15251397122"</f>
        <v>15251397122</v>
      </c>
      <c r="W22" s="2" t="str">
        <f t="shared" si="13"/>
        <v>无</v>
      </c>
      <c r="X22" s="2" t="str">
        <f t="shared" si="4"/>
        <v>否</v>
      </c>
      <c r="Y22" s="2" t="str">
        <f>"cet-4"</f>
        <v>cet-4</v>
      </c>
      <c r="Z22" s="2" t="str">
        <f>"软件设计师"</f>
        <v>软件设计师</v>
      </c>
      <c r="AA22" s="2" t="str">
        <f>"父亲|丁俊义|如皋市第二人民医院|||||||||"</f>
        <v>父亲|丁俊义|如皋市第二人民医院|||||||||</v>
      </c>
      <c r="AB22" s="2" t="str">
        <f>"2003.09-2007.06 如皋市高级中学 学生_x000D_
2007.09-2011.06 苏州科技学院 学生_x000D_
2011.09-2013.06  中通服软件科技有限公司 职员_x000D_
2013.07至今 如皋市文广传媒集团 职员"</f>
        <v>2003.09-2007.06 如皋市高级中学 学生_x000D_
2007.09-2011.06 苏州科技学院 学生_x000D_
2011.09-2013.06  中通服软件科技有限公司 职员_x000D_
2013.07至今 如皋市文广传媒集团 职员</v>
      </c>
      <c r="AC22" s="2" t="str">
        <f>"无"</f>
        <v>无</v>
      </c>
      <c r="AD22" s="2" t="str">
        <f>""</f>
        <v/>
      </c>
      <c r="AE22" s="4">
        <v>43434.390844907408</v>
      </c>
      <c r="AF22" s="2">
        <v>1</v>
      </c>
      <c r="AG22" s="2">
        <v>1</v>
      </c>
      <c r="AH22" s="2">
        <v>2</v>
      </c>
      <c r="AI22" s="2" t="str">
        <f>"18002028714"</f>
        <v>18002028714</v>
      </c>
      <c r="AJ22" s="2">
        <v>87</v>
      </c>
      <c r="AK22" s="2">
        <v>14</v>
      </c>
      <c r="AL22" s="2" t="s">
        <v>42</v>
      </c>
      <c r="AM22" s="2" t="s">
        <v>43</v>
      </c>
      <c r="AN22" s="2">
        <v>2</v>
      </c>
      <c r="AO22" s="2">
        <v>7912</v>
      </c>
      <c r="AP22" s="2" t="s">
        <v>66</v>
      </c>
      <c r="AQ22" s="2"/>
      <c r="AR22" s="2" t="s">
        <v>104</v>
      </c>
      <c r="AS22" s="3" t="s">
        <v>109</v>
      </c>
      <c r="AT22" s="2">
        <v>84.5</v>
      </c>
      <c r="AU22" s="2" t="s">
        <v>117</v>
      </c>
      <c r="AV22" s="6">
        <f t="shared" si="14"/>
        <v>84.5</v>
      </c>
      <c r="AW22" s="2">
        <v>2</v>
      </c>
      <c r="AX22" s="2"/>
      <c r="AY22" s="2"/>
    </row>
    <row r="23" spans="1:51" ht="18.75" customHeight="1">
      <c r="A23" t="str">
        <f>"100220181126090124109"</f>
        <v>100220181126090124109</v>
      </c>
      <c r="B23" s="9">
        <v>21</v>
      </c>
      <c r="C23" s="2" t="s">
        <v>44</v>
      </c>
      <c r="D23" s="2" t="str">
        <f>"孙桑杰"</f>
        <v>孙桑杰</v>
      </c>
      <c r="E23" s="2" t="str">
        <f t="shared" ref="E23:E27" si="15">"男"</f>
        <v>男</v>
      </c>
      <c r="F23" s="2" t="str">
        <f>"1991-05-08"</f>
        <v>1991-05-08</v>
      </c>
      <c r="G23" s="2" t="str">
        <f>"320621199105080036"</f>
        <v>320621199105080036</v>
      </c>
      <c r="H23" s="2" t="str">
        <f>"江苏省海安市"</f>
        <v>江苏省海安市</v>
      </c>
      <c r="I23" s="2" t="str">
        <f t="shared" si="11"/>
        <v>非应届生</v>
      </c>
      <c r="J23" s="2" t="str">
        <f>"网络工程师中级"</f>
        <v>网络工程师中级</v>
      </c>
      <c r="K23" s="2" t="str">
        <f>"2013.06"</f>
        <v>2013.06</v>
      </c>
      <c r="L23" s="2" t="str">
        <f t="shared" si="12"/>
        <v>学士</v>
      </c>
      <c r="M23" s="2" t="str">
        <f>"南京理工大学泰州科技学院"</f>
        <v>南京理工大学泰州科技学院</v>
      </c>
      <c r="N23" s="2" t="str">
        <f>"计算机科学与技术"</f>
        <v>计算机科学与技术</v>
      </c>
      <c r="O23" s="2" t="str">
        <f t="shared" si="3"/>
        <v>本科</v>
      </c>
      <c r="P23" s="2" t="str">
        <f>"170"</f>
        <v>170</v>
      </c>
      <c r="Q23" s="2" t="str">
        <f>"海安市政法委"</f>
        <v>海安市政法委</v>
      </c>
      <c r="R23" s="2" t="str">
        <f>"2013.08"</f>
        <v>2013.08</v>
      </c>
      <c r="S23" s="2" t="str">
        <f>"江苏省海安市中坝北路55号26幢3单元501室"</f>
        <v>江苏省海安市中坝北路55号26幢3单元501室</v>
      </c>
      <c r="T23" s="2" t="str">
        <f>"226600"</f>
        <v>226600</v>
      </c>
      <c r="U23" s="2" t="str">
        <f>"无"</f>
        <v>无</v>
      </c>
      <c r="V23" s="2" t="str">
        <f>"18795450117"</f>
        <v>18795450117</v>
      </c>
      <c r="W23" s="2" t="str">
        <f t="shared" si="13"/>
        <v>无</v>
      </c>
      <c r="X23" s="2" t="str">
        <f t="shared" si="4"/>
        <v>否</v>
      </c>
      <c r="Y23" s="2" t="str">
        <f>"大学英语四级"</f>
        <v>大学英语四级</v>
      </c>
      <c r="Z23" s="2" t="str">
        <f>"熟练"</f>
        <v>熟练</v>
      </c>
      <c r="AA23" s="2" t="str">
        <f>"父亲|孙建兵|海安市广播电视台|母亲|桑圣娟|江苏华艺服饰有限公司||||||"</f>
        <v>父亲|孙建兵|海安市广播电视台|母亲|桑圣娟|江苏华艺服饰有限公司||||||</v>
      </c>
      <c r="AB23" s="2" t="str">
        <f>"2006年9月-2009年7月 海安市立发中学_x000D_
2009年9月-2013年6月 南京理工大学泰州科技学院_x000D_
2013年8月-2014年2月 中软国际科技服务有限公司_x000D_
2014年3月-2014年7月 欧贝黎新能源股份有限公司_x000D_
2014年11月-2016年5月 南通水淼服装有限公司_x000D_
2016年6月-2017年8月 江苏华艺服饰有限公司_x000D_
2017年9月-2018年7月 待业_x000D_
2018年8月至今 海安市政法委（编外）"</f>
        <v>2006年9月-2009年7月 海安市立发中学_x000D_
2009年9月-2013年6月 南京理工大学泰州科技学院_x000D_
2013年8月-2014年2月 中软国际科技服务有限公司_x000D_
2014年3月-2014年7月 欧贝黎新能源股份有限公司_x000D_
2014年11月-2016年5月 南通水淼服装有限公司_x000D_
2016年6月-2017年8月 江苏华艺服饰有限公司_x000D_
2017年9月-2018年7月 待业_x000D_
2018年8月至今 海安市政法委（编外）</v>
      </c>
      <c r="AC23" s="2" t="str">
        <f>"无"</f>
        <v>无</v>
      </c>
      <c r="AD23" s="2" t="str">
        <f>""</f>
        <v/>
      </c>
      <c r="AE23" s="4">
        <v>43432.354895833334</v>
      </c>
      <c r="AF23" s="2">
        <v>1</v>
      </c>
      <c r="AG23" s="2">
        <v>1</v>
      </c>
      <c r="AH23" s="2">
        <v>1</v>
      </c>
      <c r="AI23" s="2" t="str">
        <f>"18002028512"</f>
        <v>18002028512</v>
      </c>
      <c r="AJ23" s="2">
        <v>85</v>
      </c>
      <c r="AK23" s="2">
        <v>12</v>
      </c>
      <c r="AL23" s="2" t="s">
        <v>42</v>
      </c>
      <c r="AM23" s="2" t="s">
        <v>43</v>
      </c>
      <c r="AN23" s="2">
        <v>2</v>
      </c>
      <c r="AO23" s="2">
        <v>1061</v>
      </c>
      <c r="AP23" s="2" t="s">
        <v>88</v>
      </c>
      <c r="AQ23" s="2"/>
      <c r="AR23" s="2" t="s">
        <v>104</v>
      </c>
      <c r="AS23" s="3" t="s">
        <v>109</v>
      </c>
      <c r="AT23" s="2">
        <v>81</v>
      </c>
      <c r="AU23" s="2" t="s">
        <v>117</v>
      </c>
      <c r="AV23" s="6">
        <f t="shared" si="14"/>
        <v>81</v>
      </c>
      <c r="AW23" s="2">
        <v>3</v>
      </c>
      <c r="AX23" s="2"/>
      <c r="AY23" s="2"/>
    </row>
    <row r="24" spans="1:51" ht="18.75" customHeight="1">
      <c r="A24" t="str">
        <f>"100220181126093939584"</f>
        <v>100220181126093939584</v>
      </c>
      <c r="B24" s="9">
        <v>22</v>
      </c>
      <c r="C24" s="2" t="s">
        <v>44</v>
      </c>
      <c r="D24" s="2" t="str">
        <f>"杨文超"</f>
        <v>杨文超</v>
      </c>
      <c r="E24" s="2" t="str">
        <f t="shared" si="15"/>
        <v>男</v>
      </c>
      <c r="F24" s="2" t="str">
        <f>"1988-08-25"</f>
        <v>1988-08-25</v>
      </c>
      <c r="G24" s="2" t="str">
        <f>"320623198808257959"</f>
        <v>320623198808257959</v>
      </c>
      <c r="H24" s="2" t="str">
        <f>"江苏省如东县"</f>
        <v>江苏省如东县</v>
      </c>
      <c r="I24" s="2" t="str">
        <f t="shared" si="11"/>
        <v>非应届生</v>
      </c>
      <c r="J24" s="2" t="str">
        <f>"软件设计师（中级）"</f>
        <v>软件设计师（中级）</v>
      </c>
      <c r="K24" s="2" t="str">
        <f>"20140618"</f>
        <v>20140618</v>
      </c>
      <c r="L24" s="2" t="str">
        <f>"研究生"</f>
        <v>研究生</v>
      </c>
      <c r="M24" s="2" t="str">
        <f>"安徽理工大学"</f>
        <v>安徽理工大学</v>
      </c>
      <c r="N24" s="2" t="str">
        <f>"计算机应用技术"</f>
        <v>计算机应用技术</v>
      </c>
      <c r="O24" s="2" t="str">
        <f>"硕士"</f>
        <v>硕士</v>
      </c>
      <c r="P24" s="2" t="str">
        <f>"172"</f>
        <v>172</v>
      </c>
      <c r="Q24" s="2" t="str">
        <f>"江苏如东农商银行"</f>
        <v>江苏如东农商银行</v>
      </c>
      <c r="R24" s="2" t="str">
        <f>"20140724"</f>
        <v>20140724</v>
      </c>
      <c r="S24" s="2" t="str">
        <f>"江苏省南通市如东县掘港镇钟山路66号"</f>
        <v>江苏省南通市如东县掘港镇钟山路66号</v>
      </c>
      <c r="T24" s="2" t="str">
        <f>"226400"</f>
        <v>226400</v>
      </c>
      <c r="U24" s="2" t="str">
        <f>"051384568766"</f>
        <v>051384568766</v>
      </c>
      <c r="V24" s="2" t="str">
        <f>"18351310755"</f>
        <v>18351310755</v>
      </c>
      <c r="W24" s="2" t="str">
        <f t="shared" si="13"/>
        <v>无</v>
      </c>
      <c r="X24" s="2" t="str">
        <f t="shared" si="4"/>
        <v>否</v>
      </c>
      <c r="Y24" s="2" t="str">
        <f>"四级"</f>
        <v>四级</v>
      </c>
      <c r="Z24" s="2" t="str">
        <f>"软件设计师"</f>
        <v>软件设计师</v>
      </c>
      <c r="AA24" s="2" t="str">
        <f>"父亲|张国锋|如东逸夫特殊教育学校|母亲|杨小莉|退休||||||"</f>
        <v>父亲|张国锋|如东逸夫特殊教育学校|母亲|杨小莉|退休||||||</v>
      </c>
      <c r="AB24" s="2" t="str">
        <f>"2004.09-2007.06 栟茶高级中学 学生_x000D_
2007.09-2011.06 南京三江学院 学生_x000D_
2011.09-2014.06 安徽理工大学 学生_x000D_
2014.07-2015.12 富加宜（南通）电子有限公司 职员_x000D_
2016.01至今 江苏如东农商银行 职员"</f>
        <v>2004.09-2007.06 栟茶高级中学 学生_x000D_
2007.09-2011.06 南京三江学院 学生_x000D_
2011.09-2014.06 安徽理工大学 学生_x000D_
2014.07-2015.12 富加宜（南通）电子有限公司 职员_x000D_
2016.01至今 江苏如东农商银行 职员</v>
      </c>
      <c r="AC24" s="2" t="str">
        <f>"软件开发、数据分析等"</f>
        <v>软件开发、数据分析等</v>
      </c>
      <c r="AD24" s="2" t="str">
        <f>""</f>
        <v/>
      </c>
      <c r="AE24" s="4">
        <v>43431.376006944447</v>
      </c>
      <c r="AF24" s="2">
        <v>1</v>
      </c>
      <c r="AG24" s="2">
        <v>1</v>
      </c>
      <c r="AH24" s="2">
        <v>3</v>
      </c>
      <c r="AI24" s="2" t="str">
        <f>"18002028521"</f>
        <v>18002028521</v>
      </c>
      <c r="AJ24" s="2">
        <v>85</v>
      </c>
      <c r="AK24" s="2">
        <v>21</v>
      </c>
      <c r="AL24" s="2" t="s">
        <v>42</v>
      </c>
      <c r="AM24" s="2" t="s">
        <v>43</v>
      </c>
      <c r="AN24" s="2">
        <v>2</v>
      </c>
      <c r="AO24" s="2">
        <v>2295</v>
      </c>
      <c r="AP24" s="2" t="s">
        <v>85</v>
      </c>
      <c r="AQ24" s="2"/>
      <c r="AR24" s="2" t="s">
        <v>104</v>
      </c>
      <c r="AS24" s="3" t="s">
        <v>109</v>
      </c>
      <c r="AT24" s="2">
        <v>80</v>
      </c>
      <c r="AU24" s="2" t="s">
        <v>117</v>
      </c>
      <c r="AV24" s="6">
        <f t="shared" si="14"/>
        <v>80</v>
      </c>
      <c r="AW24" s="2">
        <v>4</v>
      </c>
      <c r="AX24" s="2"/>
      <c r="AY24" s="2"/>
    </row>
    <row r="25" spans="1:51" ht="18.75" customHeight="1">
      <c r="A25" t="str">
        <f>"1002201811292006516311"</f>
        <v>1002201811292006516311</v>
      </c>
      <c r="B25" s="9">
        <v>23</v>
      </c>
      <c r="C25" s="2" t="s">
        <v>44</v>
      </c>
      <c r="D25" s="2" t="str">
        <f>"梁兵"</f>
        <v>梁兵</v>
      </c>
      <c r="E25" s="2" t="str">
        <f t="shared" si="15"/>
        <v>男</v>
      </c>
      <c r="F25" s="2" t="str">
        <f>"1990-10-18"</f>
        <v>1990-10-18</v>
      </c>
      <c r="G25" s="2" t="str">
        <f>"610625199010180194"</f>
        <v>610625199010180194</v>
      </c>
      <c r="H25" s="2" t="str">
        <f>"陕西省延安市志丹县"</f>
        <v>陕西省延安市志丹县</v>
      </c>
      <c r="I25" s="2" t="str">
        <f t="shared" si="11"/>
        <v>非应届生</v>
      </c>
      <c r="J25" s="2" t="str">
        <f>"无"</f>
        <v>无</v>
      </c>
      <c r="K25" s="2" t="str">
        <f>"2012.7"</f>
        <v>2012.7</v>
      </c>
      <c r="L25" s="2" t="str">
        <f>"无"</f>
        <v>无</v>
      </c>
      <c r="M25" s="2" t="str">
        <f>"西安欧亚学院"</f>
        <v>西安欧亚学院</v>
      </c>
      <c r="N25" s="2" t="str">
        <f>"计算机科学与技术"</f>
        <v>计算机科学与技术</v>
      </c>
      <c r="O25" s="2" t="str">
        <f>"本科"</f>
        <v>本科</v>
      </c>
      <c r="P25" s="2" t="str">
        <f>"177"</f>
        <v>177</v>
      </c>
      <c r="Q25" s="2" t="str">
        <f>"无"</f>
        <v>无</v>
      </c>
      <c r="R25" s="2" t="str">
        <f>"2012.07"</f>
        <v>2012.07</v>
      </c>
      <c r="S25" s="2" t="str">
        <f>"江苏省盐城市阜宁县幸福花苑"</f>
        <v>江苏省盐城市阜宁县幸福花苑</v>
      </c>
      <c r="T25" s="2" t="str">
        <f>"224400"</f>
        <v>224400</v>
      </c>
      <c r="U25" s="2" t="str">
        <f>"17715908673"</f>
        <v>17715908673</v>
      </c>
      <c r="V25" s="2" t="str">
        <f>"17715908673"</f>
        <v>17715908673</v>
      </c>
      <c r="W25" s="2" t="str">
        <f t="shared" si="13"/>
        <v>无</v>
      </c>
      <c r="X25" s="2" t="str">
        <f t="shared" si="4"/>
        <v>否</v>
      </c>
      <c r="Y25" s="2" t="str">
        <f>"良好"</f>
        <v>良好</v>
      </c>
      <c r="Z25" s="2" t="str">
        <f>"良好"</f>
        <v>良好</v>
      </c>
      <c r="AA25" s="2" t="str">
        <f>"父亲|梁连山|无|||||||||"</f>
        <v>父亲|梁连山|无|||||||||</v>
      </c>
      <c r="AB25" s="2" t="str">
        <f>"2008.09-2012.07西安欧亚学院_x000D_
2012.07-2015.07西安众和信息技术有限公司_x000D_
2015.08-2017.09苏州优聚思信息技术有限公司"</f>
        <v>2008.09-2012.07西安欧亚学院_x000D_
2012.07-2015.07西安众和信息技术有限公司_x000D_
2015.08-2017.09苏州优聚思信息技术有限公司</v>
      </c>
      <c r="AC25" s="2" t="str">
        <f>"无"</f>
        <v>无</v>
      </c>
      <c r="AD25" s="2" t="str">
        <f>""</f>
        <v/>
      </c>
      <c r="AE25" s="4">
        <v>43430.610706018517</v>
      </c>
      <c r="AF25" s="2">
        <v>1</v>
      </c>
      <c r="AG25" s="2">
        <v>1</v>
      </c>
      <c r="AH25" s="2">
        <v>2</v>
      </c>
      <c r="AI25" s="2" t="str">
        <f>"18002028620"</f>
        <v>18002028620</v>
      </c>
      <c r="AJ25" s="2">
        <v>86</v>
      </c>
      <c r="AK25" s="2">
        <v>20</v>
      </c>
      <c r="AL25" s="2" t="s">
        <v>42</v>
      </c>
      <c r="AM25" s="2" t="s">
        <v>43</v>
      </c>
      <c r="AN25" s="2">
        <v>2</v>
      </c>
      <c r="AO25" s="2">
        <v>5199</v>
      </c>
      <c r="AP25" s="2" t="s">
        <v>72</v>
      </c>
      <c r="AQ25" s="2"/>
      <c r="AR25" s="2" t="s">
        <v>104</v>
      </c>
      <c r="AS25" s="3" t="s">
        <v>109</v>
      </c>
      <c r="AT25" s="2">
        <v>80</v>
      </c>
      <c r="AU25" s="2" t="s">
        <v>117</v>
      </c>
      <c r="AV25" s="6">
        <f t="shared" si="14"/>
        <v>80</v>
      </c>
      <c r="AW25" s="2">
        <v>4</v>
      </c>
      <c r="AX25" s="2"/>
      <c r="AY25" s="2"/>
    </row>
    <row r="26" spans="1:51" ht="18.75" customHeight="1">
      <c r="A26" t="str">
        <f>"100220181126092618428"</f>
        <v>100220181126092618428</v>
      </c>
      <c r="B26" s="9">
        <v>24</v>
      </c>
      <c r="C26" s="2" t="s">
        <v>44</v>
      </c>
      <c r="D26" s="2" t="str">
        <f>"洪昆"</f>
        <v>洪昆</v>
      </c>
      <c r="E26" s="2" t="str">
        <f t="shared" si="15"/>
        <v>男</v>
      </c>
      <c r="F26" s="2" t="str">
        <f>"1990-12-11"</f>
        <v>1990-12-11</v>
      </c>
      <c r="G26" s="2" t="str">
        <f>"320682199012110016"</f>
        <v>320682199012110016</v>
      </c>
      <c r="H26" s="2" t="str">
        <f>"江苏如皋"</f>
        <v>江苏如皋</v>
      </c>
      <c r="I26" s="2" t="str">
        <f t="shared" si="11"/>
        <v>非应届生</v>
      </c>
      <c r="J26" s="2" t="str">
        <f>"无"</f>
        <v>无</v>
      </c>
      <c r="K26" s="2" t="str">
        <f>"2013.06"</f>
        <v>2013.06</v>
      </c>
      <c r="L26" s="2" t="str">
        <f>"学士"</f>
        <v>学士</v>
      </c>
      <c r="M26" s="2" t="str">
        <f>"南京信息工程大学滨江学院"</f>
        <v>南京信息工程大学滨江学院</v>
      </c>
      <c r="N26" s="2" t="str">
        <f>"通信工程"</f>
        <v>通信工程</v>
      </c>
      <c r="O26" s="2" t="str">
        <f>"本科"</f>
        <v>本科</v>
      </c>
      <c r="P26" s="2" t="str">
        <f>"163"</f>
        <v>163</v>
      </c>
      <c r="Q26" s="2" t="str">
        <f>"如皋市文化广播电视传媒集团"</f>
        <v>如皋市文化广播电视传媒集团</v>
      </c>
      <c r="R26" s="2" t="str">
        <f>"2013.07"</f>
        <v>2013.07</v>
      </c>
      <c r="S26" s="2" t="str">
        <f>"江苏省如皋市如城镇健康西村206幢101室"</f>
        <v>江苏省如皋市如城镇健康西村206幢101室</v>
      </c>
      <c r="T26" s="2" t="str">
        <f>"226500"</f>
        <v>226500</v>
      </c>
      <c r="U26" s="2" t="str">
        <f>"无"</f>
        <v>无</v>
      </c>
      <c r="V26" s="2" t="str">
        <f>"15162882187"</f>
        <v>15162882187</v>
      </c>
      <c r="W26" s="2" t="str">
        <f t="shared" si="13"/>
        <v>无</v>
      </c>
      <c r="X26" s="2" t="str">
        <f t="shared" si="4"/>
        <v>否</v>
      </c>
      <c r="Y26" s="2" t="str">
        <f>"英语CET4"</f>
        <v>英语CET4</v>
      </c>
      <c r="Z26" s="2" t="str">
        <f>"全国计算机二级"</f>
        <v>全国计算机二级</v>
      </c>
      <c r="AA26" s="2" t="str">
        <f>"母亲|王全霞|退休|父亲|洪云生|如皋市高压电器厂||||||"</f>
        <v>母亲|王全霞|退休|父亲|洪云生|如皋市高压电器厂||||||</v>
      </c>
      <c r="AB26" s="2" t="str">
        <f>"2006.09-2009.06 如皋市第一中学 学生_x000D_
2009.09-2011.06 扬州职业大学通信技术专业 学生_x000D_
2011.09-2013.06 南京信息工程大学滨江学院通信工程专业_x000D_
2013.07-2013.12 昌硕科技（上海）有限公司 制程工程师_x000D_
2014.04-2015.02 南通科帝智能化工程有限公司 职员_x000D_
2016.03-2017.01 南通骏汇工艺有限公司 制图员_x000D_
2017.06-至今 如皋市文广传媒集团 技术运维_x000D_
"</f>
        <v xml:space="preserve">2006.09-2009.06 如皋市第一中学 学生_x000D_
2009.09-2011.06 扬州职业大学通信技术专业 学生_x000D_
2011.09-2013.06 南京信息工程大学滨江学院通信工程专业_x000D_
2013.07-2013.12 昌硕科技（上海）有限公司 制程工程师_x000D_
2014.04-2015.02 南通科帝智能化工程有限公司 职员_x000D_
2016.03-2017.01 南通骏汇工艺有限公司 制图员_x000D_
2017.06-至今 如皋市文广传媒集团 技术运维_x000D_
</v>
      </c>
      <c r="AC26" s="2" t="str">
        <f>"无"</f>
        <v>无</v>
      </c>
      <c r="AD26" s="2" t="str">
        <f>"无"</f>
        <v>无</v>
      </c>
      <c r="AE26" s="4">
        <v>43432.617407407408</v>
      </c>
      <c r="AF26" s="2">
        <v>1</v>
      </c>
      <c r="AG26" s="2">
        <v>1</v>
      </c>
      <c r="AH26" s="2">
        <v>2</v>
      </c>
      <c r="AI26" s="2" t="str">
        <f>"18002028603"</f>
        <v>18002028603</v>
      </c>
      <c r="AJ26" s="2">
        <v>86</v>
      </c>
      <c r="AK26" s="2">
        <v>3</v>
      </c>
      <c r="AL26" s="2" t="s">
        <v>42</v>
      </c>
      <c r="AM26" s="2" t="s">
        <v>43</v>
      </c>
      <c r="AN26" s="2">
        <v>2</v>
      </c>
      <c r="AO26" s="2">
        <v>3114</v>
      </c>
      <c r="AP26" s="2" t="s">
        <v>73</v>
      </c>
      <c r="AQ26" s="2"/>
      <c r="AR26" s="2" t="s">
        <v>104</v>
      </c>
      <c r="AS26" s="3" t="s">
        <v>109</v>
      </c>
      <c r="AT26" s="2">
        <v>79.5</v>
      </c>
      <c r="AU26" s="2" t="s">
        <v>117</v>
      </c>
      <c r="AV26" s="6">
        <f t="shared" si="14"/>
        <v>79.5</v>
      </c>
      <c r="AW26" s="2">
        <v>6</v>
      </c>
      <c r="AX26" s="2"/>
      <c r="AY26" s="2"/>
    </row>
    <row r="27" spans="1:51" ht="18.75" customHeight="1">
      <c r="A27" t="str">
        <f>"1002201811261639352265"</f>
        <v>1002201811261639352265</v>
      </c>
      <c r="B27" s="9">
        <v>25</v>
      </c>
      <c r="C27" s="2" t="s">
        <v>44</v>
      </c>
      <c r="D27" s="2" t="str">
        <f>"贾苏"</f>
        <v>贾苏</v>
      </c>
      <c r="E27" s="2" t="str">
        <f t="shared" si="15"/>
        <v>男</v>
      </c>
      <c r="F27" s="2" t="str">
        <f>"1993-12-23"</f>
        <v>1993-12-23</v>
      </c>
      <c r="G27" s="2" t="str">
        <f>"321023199312230413"</f>
        <v>321023199312230413</v>
      </c>
      <c r="H27" s="2" t="str">
        <f>"江苏宝应"</f>
        <v>江苏宝应</v>
      </c>
      <c r="I27" s="2" t="str">
        <f>"应届生"</f>
        <v>应届生</v>
      </c>
      <c r="J27" s="2" t="str">
        <f>"软件设计师"</f>
        <v>软件设计师</v>
      </c>
      <c r="K27" s="2" t="str">
        <f>"2019.6"</f>
        <v>2019.6</v>
      </c>
      <c r="L27" s="2" t="str">
        <f>"研究生"</f>
        <v>研究生</v>
      </c>
      <c r="M27" s="2" t="str">
        <f>"扬州大学"</f>
        <v>扬州大学</v>
      </c>
      <c r="N27" s="2" t="str">
        <f>"计算机科学与技术"</f>
        <v>计算机科学与技术</v>
      </c>
      <c r="O27" s="2" t="str">
        <f>"硕士"</f>
        <v>硕士</v>
      </c>
      <c r="P27" s="2" t="str">
        <f>"177"</f>
        <v>177</v>
      </c>
      <c r="Q27" s="2" t="str">
        <f>"无"</f>
        <v>无</v>
      </c>
      <c r="R27" s="2" t="str">
        <f>"无"</f>
        <v>无</v>
      </c>
      <c r="S27" s="2" t="str">
        <f>"扬州大学扬子津校区"</f>
        <v>扬州大学扬子津校区</v>
      </c>
      <c r="T27" s="2" t="str">
        <f>"225800"</f>
        <v>225800</v>
      </c>
      <c r="U27" s="2" t="str">
        <f>"无"</f>
        <v>无</v>
      </c>
      <c r="V27" s="2" t="str">
        <f>"18651049897"</f>
        <v>18651049897</v>
      </c>
      <c r="W27" s="2" t="str">
        <f t="shared" si="13"/>
        <v>无</v>
      </c>
      <c r="X27" s="2" t="str">
        <f t="shared" si="4"/>
        <v>否</v>
      </c>
      <c r="Y27" s="2" t="str">
        <f>"CET6"</f>
        <v>CET6</v>
      </c>
      <c r="Z27" s="2" t="str">
        <f>"江苏省计算机三级偏软"</f>
        <v>江苏省计算机三级偏软</v>
      </c>
      <c r="AA27" s="2" t="str">
        <f>"父亲|贾爱民|个体|母亲|郁维凤|宝应县中医医院||||||"</f>
        <v>父亲|贾爱民|个体|母亲|郁维凤|宝应县中医医院||||||</v>
      </c>
      <c r="AB27" s="2" t="str">
        <f>"2009.09-2012.06 宝应画川中学 学生_x000D_
2012.09-2016.06 南通大学杏林学院 学生_x000D_
2016.09-至今 扬州大学信息学院 学学生"</f>
        <v>2009.09-2012.06 宝应画川中学 学生_x000D_
2012.09-2016.06 南通大学杏林学院 学生_x000D_
2016.09-至今 扬州大学信息学院 学学生</v>
      </c>
      <c r="AC27" s="2" t="str">
        <f>"无"</f>
        <v>无</v>
      </c>
      <c r="AD27" s="2" t="str">
        <f>""</f>
        <v/>
      </c>
      <c r="AE27" s="4">
        <v>43432.353182870371</v>
      </c>
      <c r="AF27" s="2">
        <v>1</v>
      </c>
      <c r="AG27" s="2">
        <v>1</v>
      </c>
      <c r="AH27" s="2">
        <v>1</v>
      </c>
      <c r="AI27" s="2" t="str">
        <f>"18002028713"</f>
        <v>18002028713</v>
      </c>
      <c r="AJ27" s="2">
        <v>87</v>
      </c>
      <c r="AK27" s="2">
        <v>13</v>
      </c>
      <c r="AL27" s="2" t="s">
        <v>42</v>
      </c>
      <c r="AM27" s="2" t="s">
        <v>43</v>
      </c>
      <c r="AN27" s="2">
        <v>2</v>
      </c>
      <c r="AO27" s="2">
        <v>7901</v>
      </c>
      <c r="AP27" s="2" t="s">
        <v>91</v>
      </c>
      <c r="AQ27" s="2"/>
      <c r="AR27" s="2" t="s">
        <v>104</v>
      </c>
      <c r="AS27" s="3" t="s">
        <v>109</v>
      </c>
      <c r="AT27" s="2">
        <v>79.5</v>
      </c>
      <c r="AU27" s="2" t="s">
        <v>117</v>
      </c>
      <c r="AV27" s="6">
        <f t="shared" si="14"/>
        <v>79.5</v>
      </c>
      <c r="AW27" s="2">
        <v>6</v>
      </c>
      <c r="AX27" s="2"/>
      <c r="AY27" s="2"/>
    </row>
    <row r="28" spans="1:51" ht="18.75" customHeight="1">
      <c r="A28" t="str">
        <f>"1002201811292036416350"</f>
        <v>1002201811292036416350</v>
      </c>
      <c r="B28" s="9">
        <v>26</v>
      </c>
      <c r="C28" s="2" t="s">
        <v>227</v>
      </c>
      <c r="D28" s="2" t="str">
        <f>"李瑞"</f>
        <v>李瑞</v>
      </c>
      <c r="E28" s="2" t="str">
        <f>"女"</f>
        <v>女</v>
      </c>
      <c r="F28" s="2" t="str">
        <f>"1996-02-16"</f>
        <v>1996-02-16</v>
      </c>
      <c r="G28" s="2" t="str">
        <f>"320723199602162647"</f>
        <v>320723199602162647</v>
      </c>
      <c r="H28" s="2" t="str">
        <f>"江苏省灌云县"</f>
        <v>江苏省灌云县</v>
      </c>
      <c r="I28" s="2" t="str">
        <f t="shared" ref="I28:I30" si="16">"应届生"</f>
        <v>应届生</v>
      </c>
      <c r="J28" s="2" t="str">
        <f t="shared" ref="J28:J30" si="17">"无"</f>
        <v>无</v>
      </c>
      <c r="K28" s="2" t="str">
        <f>"2018.07"</f>
        <v>2018.07</v>
      </c>
      <c r="L28" s="2" t="str">
        <f t="shared" ref="L28:L33" si="18">"学士"</f>
        <v>学士</v>
      </c>
      <c r="M28" s="2" t="str">
        <f>"江苏省徐州工程学院"</f>
        <v>江苏省徐州工程学院</v>
      </c>
      <c r="N28" s="2" t="str">
        <f>"汉语言文学"</f>
        <v>汉语言文学</v>
      </c>
      <c r="O28" s="2" t="str">
        <f t="shared" ref="O28:O33" si="19">"本科"</f>
        <v>本科</v>
      </c>
      <c r="P28" s="2" t="str">
        <f>"160"</f>
        <v>160</v>
      </c>
      <c r="Q28" s="2" t="str">
        <f t="shared" ref="Q28:R30" si="20">"无"</f>
        <v>无</v>
      </c>
      <c r="R28" s="2" t="str">
        <f t="shared" si="20"/>
        <v>无</v>
      </c>
      <c r="S28" s="2" t="str">
        <f>"江苏省灌云县四队镇兴二村4组"</f>
        <v>江苏省灌云县四队镇兴二村4组</v>
      </c>
      <c r="T28" s="2" t="str">
        <f>"222234"</f>
        <v>222234</v>
      </c>
      <c r="U28" s="2" t="str">
        <f>"无"</f>
        <v>无</v>
      </c>
      <c r="V28" s="2" t="str">
        <f>"18361203223"</f>
        <v>18361203223</v>
      </c>
      <c r="W28" s="2" t="str">
        <f>"二级乙等"</f>
        <v>二级乙等</v>
      </c>
      <c r="X28" s="2" t="str">
        <f t="shared" si="4"/>
        <v>否</v>
      </c>
      <c r="Y28" s="2" t="str">
        <f>"大学英语四级"</f>
        <v>大学英语四级</v>
      </c>
      <c r="Z28" s="2" t="str">
        <f>"全国计算机二级"</f>
        <v>全国计算机二级</v>
      </c>
      <c r="AA28" s="2" t="str">
        <f>"父亲|李中林|灌云县龙王小学 |母亲|孙志萍|灌云县四队镇欧旺超市 ||||||"</f>
        <v>父亲|李中林|灌云县龙王小学 |母亲|孙志萍|灌云县四队镇欧旺超市 ||||||</v>
      </c>
      <c r="AB28" s="2" t="str">
        <f>"2011.09-2014.07 连云港市新海高级中学 学生_x000D_
2014.09-2018.07 徐州工程学院 学生"</f>
        <v>2011.09-2014.07 连云港市新海高级中学 学生_x000D_
2014.09-2018.07 徐州工程学院 学生</v>
      </c>
      <c r="AC28" s="2" t="str">
        <f>"无"</f>
        <v>无</v>
      </c>
      <c r="AD28" s="2" t="str">
        <f>"无"</f>
        <v>无</v>
      </c>
      <c r="AE28" s="4">
        <v>43434.590740740743</v>
      </c>
      <c r="AF28" s="2">
        <v>1</v>
      </c>
      <c r="AG28" s="2">
        <v>1</v>
      </c>
      <c r="AH28" s="2">
        <v>6</v>
      </c>
      <c r="AI28" s="2" t="str">
        <f>"18002020111"</f>
        <v>18002020111</v>
      </c>
      <c r="AJ28" s="2">
        <v>1</v>
      </c>
      <c r="AK28" s="2">
        <v>11</v>
      </c>
      <c r="AL28" s="2" t="s">
        <v>42</v>
      </c>
      <c r="AM28" s="2" t="s">
        <v>43</v>
      </c>
      <c r="AN28" s="2">
        <v>2</v>
      </c>
      <c r="AO28" s="2">
        <v>3495</v>
      </c>
      <c r="AP28" s="2" t="s">
        <v>229</v>
      </c>
      <c r="AQ28" s="2"/>
      <c r="AR28" s="2" t="s">
        <v>330</v>
      </c>
      <c r="AS28" s="3" t="s">
        <v>331</v>
      </c>
      <c r="AT28" s="2" t="s">
        <v>117</v>
      </c>
      <c r="AU28" s="2" t="s">
        <v>117</v>
      </c>
      <c r="AV28" s="7">
        <v>72.45</v>
      </c>
      <c r="AW28" s="2">
        <v>1</v>
      </c>
      <c r="AX28" s="2"/>
      <c r="AY28" s="2"/>
    </row>
    <row r="29" spans="1:51" ht="18.75" customHeight="1">
      <c r="A29" t="str">
        <f>"1002201811291231445793"</f>
        <v>1002201811291231445793</v>
      </c>
      <c r="B29" s="9">
        <v>27</v>
      </c>
      <c r="C29" s="2" t="s">
        <v>227</v>
      </c>
      <c r="D29" s="2" t="str">
        <f>"吴芷竞"</f>
        <v>吴芷竞</v>
      </c>
      <c r="E29" s="2" t="str">
        <f>"女"</f>
        <v>女</v>
      </c>
      <c r="F29" s="2" t="str">
        <f>"1996-02-19"</f>
        <v>1996-02-19</v>
      </c>
      <c r="G29" s="2" t="str">
        <f>"321281199602190186"</f>
        <v>321281199602190186</v>
      </c>
      <c r="H29" s="2" t="str">
        <f>"江苏泰州兴化"</f>
        <v>江苏泰州兴化</v>
      </c>
      <c r="I29" s="2" t="str">
        <f t="shared" si="16"/>
        <v>应届生</v>
      </c>
      <c r="J29" s="2" t="str">
        <f t="shared" si="17"/>
        <v>无</v>
      </c>
      <c r="K29" s="2" t="str">
        <f>"2018.06"</f>
        <v>2018.06</v>
      </c>
      <c r="L29" s="2" t="str">
        <f t="shared" si="18"/>
        <v>学士</v>
      </c>
      <c r="M29" s="2" t="str">
        <f>"徐州工程学院"</f>
        <v>徐州工程学院</v>
      </c>
      <c r="N29" s="2" t="str">
        <f>"汉语言文学"</f>
        <v>汉语言文学</v>
      </c>
      <c r="O29" s="2" t="str">
        <f t="shared" si="19"/>
        <v>本科</v>
      </c>
      <c r="P29" s="2" t="str">
        <f>"163"</f>
        <v>163</v>
      </c>
      <c r="Q29" s="2" t="str">
        <f t="shared" si="20"/>
        <v>无</v>
      </c>
      <c r="R29" s="2" t="str">
        <f t="shared" si="20"/>
        <v>无</v>
      </c>
      <c r="S29" s="2" t="str">
        <f>"江苏省泰州市兴化市长安中路锦绣园17号楼503"</f>
        <v>江苏省泰州市兴化市长安中路锦绣园17号楼503</v>
      </c>
      <c r="T29" s="2" t="str">
        <f>"225700"</f>
        <v>225700</v>
      </c>
      <c r="U29" s="2" t="str">
        <f>"13815913608"</f>
        <v>13815913608</v>
      </c>
      <c r="V29" s="2" t="str">
        <f>"18361203003"</f>
        <v>18361203003</v>
      </c>
      <c r="W29" s="2" t="str">
        <f>"二甲"</f>
        <v>二甲</v>
      </c>
      <c r="X29" s="2" t="str">
        <f t="shared" si="4"/>
        <v>否</v>
      </c>
      <c r="Y29" s="2" t="str">
        <f>"大学英语六级"</f>
        <v>大学英语六级</v>
      </c>
      <c r="Z29" s="2" t="str">
        <f>"全国计算机二级"</f>
        <v>全国计算机二级</v>
      </c>
      <c r="AA29" s="2" t="str">
        <f>"父亲|吴进堂|江苏省兴化市板桥初级中学|母亲|严立弘|江苏省兴化市兴晟置业有限公司||||||"</f>
        <v>父亲|吴进堂|江苏省兴化市板桥初级中学|母亲|严立弘|江苏省兴化市兴晟置业有限公司||||||</v>
      </c>
      <c r="AB29" s="2" t="str">
        <f>"2011.09-2014.06江苏省兴化中学 学生_x000D_
2014.09-2018.06 徐州工程学院人文学院汉语言文学专业 学生"</f>
        <v>2011.09-2014.06江苏省兴化中学 学生_x000D_
2014.09-2018.06 徐州工程学院人文学院汉语言文学专业 学生</v>
      </c>
      <c r="AC29" s="2" t="str">
        <f>"2018年毕业尚未就业"</f>
        <v>2018年毕业尚未就业</v>
      </c>
      <c r="AD29" s="2" t="str">
        <f>""</f>
        <v/>
      </c>
      <c r="AE29" s="4">
        <v>43433.706053240741</v>
      </c>
      <c r="AF29" s="2">
        <v>1</v>
      </c>
      <c r="AG29" s="2">
        <v>1</v>
      </c>
      <c r="AH29" s="2">
        <v>1</v>
      </c>
      <c r="AI29" s="2" t="str">
        <f>"18002020105"</f>
        <v>18002020105</v>
      </c>
      <c r="AJ29" s="2">
        <v>1</v>
      </c>
      <c r="AK29" s="2">
        <v>5</v>
      </c>
      <c r="AL29" s="2" t="s">
        <v>42</v>
      </c>
      <c r="AM29" s="2" t="s">
        <v>43</v>
      </c>
      <c r="AN29" s="2">
        <v>2</v>
      </c>
      <c r="AO29" s="2">
        <v>1997</v>
      </c>
      <c r="AP29" s="2" t="s">
        <v>228</v>
      </c>
      <c r="AQ29" s="2"/>
      <c r="AR29" s="2" t="s">
        <v>330</v>
      </c>
      <c r="AS29" s="3" t="s">
        <v>331</v>
      </c>
      <c r="AT29" s="2" t="s">
        <v>117</v>
      </c>
      <c r="AU29" s="2" t="s">
        <v>117</v>
      </c>
      <c r="AV29" s="7">
        <v>68.650000000000006</v>
      </c>
      <c r="AW29" s="2">
        <v>2</v>
      </c>
      <c r="AX29" s="2"/>
      <c r="AY29" s="2"/>
    </row>
    <row r="30" spans="1:51" ht="18.75" customHeight="1">
      <c r="A30" t="str">
        <f>"100220181126091050272"</f>
        <v>100220181126091050272</v>
      </c>
      <c r="B30" s="9">
        <v>28</v>
      </c>
      <c r="C30" s="2" t="s">
        <v>227</v>
      </c>
      <c r="D30" s="2" t="str">
        <f>"顾晓彤"</f>
        <v>顾晓彤</v>
      </c>
      <c r="E30" s="2" t="str">
        <f>"女"</f>
        <v>女</v>
      </c>
      <c r="F30" s="2" t="str">
        <f>"1997-08-27"</f>
        <v>1997-08-27</v>
      </c>
      <c r="G30" s="2" t="str">
        <f>"320683199708270022"</f>
        <v>320683199708270022</v>
      </c>
      <c r="H30" s="2" t="str">
        <f>"江苏南通"</f>
        <v>江苏南通</v>
      </c>
      <c r="I30" s="2" t="str">
        <f t="shared" si="16"/>
        <v>应届生</v>
      </c>
      <c r="J30" s="2" t="str">
        <f t="shared" si="17"/>
        <v>无</v>
      </c>
      <c r="K30" s="2" t="str">
        <f>"2019.06"</f>
        <v>2019.06</v>
      </c>
      <c r="L30" s="2" t="str">
        <f t="shared" si="18"/>
        <v>学士</v>
      </c>
      <c r="M30" s="2" t="str">
        <f>"南通大学"</f>
        <v>南通大学</v>
      </c>
      <c r="N30" s="2" t="str">
        <f>"秘书学"</f>
        <v>秘书学</v>
      </c>
      <c r="O30" s="2" t="str">
        <f t="shared" si="19"/>
        <v>本科</v>
      </c>
      <c r="P30" s="2" t="str">
        <f>"163cm"</f>
        <v>163cm</v>
      </c>
      <c r="Q30" s="2" t="str">
        <f t="shared" si="20"/>
        <v>无</v>
      </c>
      <c r="R30" s="2" t="str">
        <f t="shared" si="20"/>
        <v>无</v>
      </c>
      <c r="S30" s="2" t="str">
        <f>"江苏省南通市通州区金沙镇水榭花城11号楼804室"</f>
        <v>江苏省南通市通州区金沙镇水榭花城11号楼804室</v>
      </c>
      <c r="T30" s="2" t="str">
        <f>"226300"</f>
        <v>226300</v>
      </c>
      <c r="U30" s="2" t="str">
        <f>"无"</f>
        <v>无</v>
      </c>
      <c r="V30" s="2" t="str">
        <f>"18862803569"</f>
        <v>18862803569</v>
      </c>
      <c r="W30" s="2" t="str">
        <f>"一级乙等"</f>
        <v>一级乙等</v>
      </c>
      <c r="X30" s="2" t="str">
        <f t="shared" si="4"/>
        <v>否</v>
      </c>
      <c r="Y30" s="2" t="str">
        <f>"国家六级"</f>
        <v>国家六级</v>
      </c>
      <c r="Z30" s="2" t="str">
        <f>"江苏省计算机MS-Office二级"</f>
        <v>江苏省计算机MS-Office二级</v>
      </c>
      <c r="AA30" s="2" t="str">
        <f>"父亲|顾立兵|南通市通州区广播电视局|母亲|马烨|南通市通州区金沙镇苏宁电器||||||"</f>
        <v>父亲|顾立兵|南通市通州区广播电视局|母亲|马烨|南通市通州区金沙镇苏宁电器||||||</v>
      </c>
      <c r="AB30" s="2" t="str">
        <f>"2012.09-2015.06 通州区西亭高级中学 学生_x000D_
2015.09-2019.06 南通大学文学院秘书学专业 学生"</f>
        <v>2012.09-2015.06 通州区西亭高级中学 学生_x000D_
2015.09-2019.06 南通大学文学院秘书学专业 学生</v>
      </c>
      <c r="AC30" s="2" t="str">
        <f>"无"</f>
        <v>无</v>
      </c>
      <c r="AD30" s="2" t="str">
        <f>""</f>
        <v/>
      </c>
      <c r="AE30" s="4">
        <v>43430.480578703704</v>
      </c>
      <c r="AF30" s="2">
        <v>1</v>
      </c>
      <c r="AG30" s="2">
        <v>1</v>
      </c>
      <c r="AH30" s="2">
        <v>3</v>
      </c>
      <c r="AI30" s="2" t="str">
        <f>"18002020114"</f>
        <v>18002020114</v>
      </c>
      <c r="AJ30" s="2">
        <v>1</v>
      </c>
      <c r="AK30" s="2">
        <v>14</v>
      </c>
      <c r="AL30" s="2" t="s">
        <v>42</v>
      </c>
      <c r="AM30" s="2" t="s">
        <v>43</v>
      </c>
      <c r="AN30" s="2">
        <v>2</v>
      </c>
      <c r="AO30" s="2">
        <v>4627</v>
      </c>
      <c r="AP30" s="2" t="s">
        <v>230</v>
      </c>
      <c r="AQ30" s="2"/>
      <c r="AR30" s="2" t="s">
        <v>330</v>
      </c>
      <c r="AS30" s="3" t="s">
        <v>331</v>
      </c>
      <c r="AT30" s="2" t="s">
        <v>117</v>
      </c>
      <c r="AU30" s="2" t="s">
        <v>117</v>
      </c>
      <c r="AV30" s="7">
        <v>67.349999999999994</v>
      </c>
      <c r="AW30" s="2">
        <v>3</v>
      </c>
      <c r="AX30" s="2"/>
      <c r="AY30" s="2"/>
    </row>
    <row r="31" spans="1:51" ht="18.75" customHeight="1">
      <c r="A31" t="str">
        <f>"1002201811281748395097"</f>
        <v>1002201811281748395097</v>
      </c>
      <c r="B31" s="9">
        <v>29</v>
      </c>
      <c r="C31" s="2" t="s">
        <v>63</v>
      </c>
      <c r="D31" s="2" t="str">
        <f>"冒骥"</f>
        <v>冒骥</v>
      </c>
      <c r="E31" s="2" t="str">
        <f>"男"</f>
        <v>男</v>
      </c>
      <c r="F31" s="2" t="str">
        <f>"1990-11-05"</f>
        <v>1990-11-05</v>
      </c>
      <c r="G31" s="2" t="str">
        <f>"320682199011058957"</f>
        <v>320682199011058957</v>
      </c>
      <c r="H31" s="2" t="str">
        <f>"如皋"</f>
        <v>如皋</v>
      </c>
      <c r="I31" s="2" t="str">
        <f t="shared" ref="I31:I33" si="21">"非应届生"</f>
        <v>非应届生</v>
      </c>
      <c r="J31" s="2" t="str">
        <f>"计算机软件等级中级"</f>
        <v>计算机软件等级中级</v>
      </c>
      <c r="K31" s="2" t="str">
        <f>"2013.6"</f>
        <v>2013.6</v>
      </c>
      <c r="L31" s="2" t="str">
        <f t="shared" si="18"/>
        <v>学士</v>
      </c>
      <c r="M31" s="2" t="str">
        <f>"重庆师范大学"</f>
        <v>重庆师范大学</v>
      </c>
      <c r="N31" s="2" t="str">
        <f>"信息管理与信息系统"</f>
        <v>信息管理与信息系统</v>
      </c>
      <c r="O31" s="2" t="str">
        <f t="shared" si="19"/>
        <v>本科</v>
      </c>
      <c r="P31" s="2" t="str">
        <f>"175"</f>
        <v>175</v>
      </c>
      <c r="Q31" s="2" t="str">
        <f>"江苏省泰州市烟草专卖局"</f>
        <v>江苏省泰州市烟草专卖局</v>
      </c>
      <c r="R31" s="2" t="str">
        <f>"2014.1"</f>
        <v>2014.1</v>
      </c>
      <c r="S31" s="2" t="str">
        <f>"如皋市皋南新村306栋304室"</f>
        <v>如皋市皋南新村306栋304室</v>
      </c>
      <c r="T31" s="2" t="str">
        <f>"226000"</f>
        <v>226000</v>
      </c>
      <c r="U31" s="2" t="str">
        <f>"18652695391"</f>
        <v>18652695391</v>
      </c>
      <c r="V31" s="2" t="str">
        <f>"18652695391"</f>
        <v>18652695391</v>
      </c>
      <c r="W31" s="2" t="str">
        <f>"二级甲等"</f>
        <v>二级甲等</v>
      </c>
      <c r="X31" s="2" t="str">
        <f t="shared" si="4"/>
        <v>否</v>
      </c>
      <c r="Y31" s="2" t="str">
        <f>"英语六级"</f>
        <v>英语六级</v>
      </c>
      <c r="Z31" s="2" t="str">
        <f>"计算机二级"</f>
        <v>计算机二级</v>
      </c>
      <c r="AA31" s="2" t="str">
        <f>"父亲|冒树林|江苏省如皋市职教中心校|母亲|孙红文|退休|妻子|苗依|江苏省如皋第一中专|||"</f>
        <v>父亲|冒树林|江苏省如皋市职教中心校|母亲|孙红文|退休|妻子|苗依|江苏省如皋第一中专|||</v>
      </c>
      <c r="AB31" s="2" t="str">
        <f>"2006.09-2009.06 如皋市第一中学 学生_x000D_
2009.09-2013.06 重庆师范大学 学生_x000D_
2013.09-2017.06 江苏省烟草专卖局（公司）泰州市公司 职员"</f>
        <v>2006.09-2009.06 如皋市第一中学 学生_x000D_
2009.09-2013.06 重庆师范大学 学生_x000D_
2013.09-2017.06 江苏省烟草专卖局（公司）泰州市公司 职员</v>
      </c>
      <c r="AC31" s="2" t="str">
        <f>" "</f>
        <v xml:space="preserve"> </v>
      </c>
      <c r="AD31" s="2" t="str">
        <f>""</f>
        <v/>
      </c>
      <c r="AE31" s="4">
        <v>43433.734189814815</v>
      </c>
      <c r="AF31" s="2">
        <v>1</v>
      </c>
      <c r="AG31" s="2">
        <v>1</v>
      </c>
      <c r="AH31" s="2">
        <v>2</v>
      </c>
      <c r="AI31" s="2" t="str">
        <f>"18002028811"</f>
        <v>18002028811</v>
      </c>
      <c r="AJ31" s="2">
        <v>88</v>
      </c>
      <c r="AK31" s="2">
        <v>11</v>
      </c>
      <c r="AL31" s="2" t="s">
        <v>42</v>
      </c>
      <c r="AM31" s="2" t="s">
        <v>43</v>
      </c>
      <c r="AN31" s="2">
        <v>2</v>
      </c>
      <c r="AO31" s="2">
        <v>3164</v>
      </c>
      <c r="AP31" s="2" t="s">
        <v>99</v>
      </c>
      <c r="AQ31" s="2"/>
      <c r="AR31" s="2" t="s">
        <v>104</v>
      </c>
      <c r="AS31" s="3" t="s">
        <v>109</v>
      </c>
      <c r="AT31" s="2">
        <v>88</v>
      </c>
      <c r="AU31" s="2" t="s">
        <v>117</v>
      </c>
      <c r="AV31" s="6">
        <f t="shared" ref="AV31:AV33" si="22">AT31</f>
        <v>88</v>
      </c>
      <c r="AW31" s="2">
        <v>1</v>
      </c>
      <c r="AX31" s="2"/>
      <c r="AY31" s="2"/>
    </row>
    <row r="32" spans="1:51" ht="18.75" customHeight="1">
      <c r="A32" t="str">
        <f>"1002201811271211413584"</f>
        <v>1002201811271211413584</v>
      </c>
      <c r="B32" s="9">
        <v>30</v>
      </c>
      <c r="C32" s="2" t="s">
        <v>63</v>
      </c>
      <c r="D32" s="2" t="str">
        <f>"周时飞"</f>
        <v>周时飞</v>
      </c>
      <c r="E32" s="2" t="str">
        <f>"男"</f>
        <v>男</v>
      </c>
      <c r="F32" s="2" t="str">
        <f>"1994-08-23"</f>
        <v>1994-08-23</v>
      </c>
      <c r="G32" s="2" t="str">
        <f>"320981199408230719"</f>
        <v>320981199408230719</v>
      </c>
      <c r="H32" s="2" t="str">
        <f>"江苏省盐城市东台市"</f>
        <v>江苏省盐城市东台市</v>
      </c>
      <c r="I32" s="2" t="str">
        <f t="shared" si="21"/>
        <v>非应届生</v>
      </c>
      <c r="J32" s="2" t="str">
        <f>"无"</f>
        <v>无</v>
      </c>
      <c r="K32" s="2" t="str">
        <f>"2016.07"</f>
        <v>2016.07</v>
      </c>
      <c r="L32" s="2" t="str">
        <f t="shared" si="18"/>
        <v>学士</v>
      </c>
      <c r="M32" s="2" t="str">
        <f>"金陵科技学院"</f>
        <v>金陵科技学院</v>
      </c>
      <c r="N32" s="2" t="str">
        <f>"软件工程"</f>
        <v>软件工程</v>
      </c>
      <c r="O32" s="2" t="str">
        <f t="shared" si="19"/>
        <v>本科</v>
      </c>
      <c r="P32" s="2" t="str">
        <f>"173"</f>
        <v>173</v>
      </c>
      <c r="Q32" s="2" t="str">
        <f>"无"</f>
        <v>无</v>
      </c>
      <c r="R32" s="2" t="str">
        <f>"2016.07"</f>
        <v>2016.07</v>
      </c>
      <c r="S32" s="2" t="str">
        <f>"江苏省盐城市东台市望海小区31号楼406室"</f>
        <v>江苏省盐城市东台市望海小区31号楼406室</v>
      </c>
      <c r="T32" s="2" t="str">
        <f>"224200"</f>
        <v>224200</v>
      </c>
      <c r="U32" s="2" t="str">
        <f>"无"</f>
        <v>无</v>
      </c>
      <c r="V32" s="2" t="str">
        <f>"13218067027"</f>
        <v>13218067027</v>
      </c>
      <c r="W32" s="2" t="str">
        <f>"无"</f>
        <v>无</v>
      </c>
      <c r="X32" s="2" t="str">
        <f t="shared" si="4"/>
        <v>否</v>
      </c>
      <c r="Y32" s="2" t="str">
        <f>"大学英语四级"</f>
        <v>大学英语四级</v>
      </c>
      <c r="Z32" s="2" t="str">
        <f>"基本操作精通，熟悉C，JAVA等编程语言"</f>
        <v>基本操作精通，熟悉C，JAVA等编程语言</v>
      </c>
      <c r="AA32" s="2" t="str">
        <f>"父亲|周建国|江苏峰峰钨钼股份有限公司|母亲|唐锦霞|无||||||"</f>
        <v>父亲|周建国|江苏峰峰钨钼股份有限公司|母亲|唐锦霞|无||||||</v>
      </c>
      <c r="AB32" s="2" t="str">
        <f>"2009.09-2012.06 江苏省东台中学 学生_x000D_
2012.09-2016.07 金陵科技学院软件工程专业 学生_x000D_
2016.07-2017.03 启捷（北京）信息技术有限公司 Java软件程序员_x000D_
2017.03-2017.10 南京大汉网络科技有限公司 Java软件程序员 "</f>
        <v xml:space="preserve">2009.09-2012.06 江苏省东台中学 学生_x000D_
2012.09-2016.07 金陵科技学院软件工程专业 学生_x000D_
2016.07-2017.03 启捷（北京）信息技术有限公司 Java软件程序员_x000D_
2017.03-2017.10 南京大汉网络科技有限公司 Java软件程序员 </v>
      </c>
      <c r="AC32" s="2" t="str">
        <f>"无"</f>
        <v>无</v>
      </c>
      <c r="AD32" s="2" t="str">
        <f>""</f>
        <v/>
      </c>
      <c r="AE32" s="4">
        <v>43433.727835648147</v>
      </c>
      <c r="AF32" s="2">
        <v>1</v>
      </c>
      <c r="AG32" s="2">
        <v>1</v>
      </c>
      <c r="AH32" s="2">
        <v>8</v>
      </c>
      <c r="AI32" s="2" t="str">
        <f>"18002028820"</f>
        <v>18002028820</v>
      </c>
      <c r="AJ32" s="2">
        <v>88</v>
      </c>
      <c r="AK32" s="2">
        <v>20</v>
      </c>
      <c r="AL32" s="2" t="s">
        <v>42</v>
      </c>
      <c r="AM32" s="2" t="s">
        <v>43</v>
      </c>
      <c r="AN32" s="2">
        <v>2</v>
      </c>
      <c r="AO32" s="2">
        <v>4854</v>
      </c>
      <c r="AP32" s="2" t="s">
        <v>97</v>
      </c>
      <c r="AQ32" s="2"/>
      <c r="AR32" s="2" t="s">
        <v>104</v>
      </c>
      <c r="AS32" s="3" t="s">
        <v>109</v>
      </c>
      <c r="AT32" s="2">
        <v>86.5</v>
      </c>
      <c r="AU32" s="2" t="s">
        <v>117</v>
      </c>
      <c r="AV32" s="6">
        <f t="shared" si="22"/>
        <v>86.5</v>
      </c>
      <c r="AW32" s="2">
        <v>2</v>
      </c>
      <c r="AX32" s="2"/>
      <c r="AY32" s="2"/>
    </row>
    <row r="33" spans="1:51" ht="18.75" customHeight="1">
      <c r="A33" t="str">
        <f>"1002201811271347403700"</f>
        <v>1002201811271347403700</v>
      </c>
      <c r="B33" s="9">
        <v>31</v>
      </c>
      <c r="C33" s="2" t="s">
        <v>63</v>
      </c>
      <c r="D33" s="2" t="str">
        <f>"纪翀宇"</f>
        <v>纪翀宇</v>
      </c>
      <c r="E33" s="2" t="str">
        <f>"男"</f>
        <v>男</v>
      </c>
      <c r="F33" s="2" t="str">
        <f>"1987-06-18"</f>
        <v>1987-06-18</v>
      </c>
      <c r="G33" s="2" t="str">
        <f>"320621198706182412"</f>
        <v>320621198706182412</v>
      </c>
      <c r="H33" s="2" t="str">
        <f>"江苏省海安市"</f>
        <v>江苏省海安市</v>
      </c>
      <c r="I33" s="2" t="str">
        <f t="shared" si="21"/>
        <v>非应届生</v>
      </c>
      <c r="J33" s="2" t="str">
        <f>"助理工程师"</f>
        <v>助理工程师</v>
      </c>
      <c r="K33" s="2" t="str">
        <f>"2009.06"</f>
        <v>2009.06</v>
      </c>
      <c r="L33" s="2" t="str">
        <f t="shared" si="18"/>
        <v>学士</v>
      </c>
      <c r="M33" s="2" t="str">
        <f>"南京信息工程大学"</f>
        <v>南京信息工程大学</v>
      </c>
      <c r="N33" s="2" t="str">
        <f>"信息管理与信息系统"</f>
        <v>信息管理与信息系统</v>
      </c>
      <c r="O33" s="2" t="str">
        <f t="shared" si="19"/>
        <v>本科</v>
      </c>
      <c r="P33" s="2" t="str">
        <f>"168"</f>
        <v>168</v>
      </c>
      <c r="Q33" s="2" t="str">
        <f>"海安市公共资源交易中心（编外）"</f>
        <v>海安市公共资源交易中心（编外）</v>
      </c>
      <c r="R33" s="2" t="str">
        <f>"2010.06"</f>
        <v>2010.06</v>
      </c>
      <c r="S33" s="2" t="str">
        <f>"海安市长江西路58号锦绣前城22-5-401"</f>
        <v>海安市长江西路58号锦绣前城22-5-401</v>
      </c>
      <c r="T33" s="2" t="str">
        <f>"226600"</f>
        <v>226600</v>
      </c>
      <c r="U33" s="2" t="str">
        <f>"0513-81819550"</f>
        <v>0513-81819550</v>
      </c>
      <c r="V33" s="2" t="str">
        <f>"15366"</f>
        <v>15366</v>
      </c>
      <c r="W33" s="2" t="str">
        <f>"无"</f>
        <v>无</v>
      </c>
      <c r="X33" s="2" t="str">
        <f t="shared" si="4"/>
        <v>否</v>
      </c>
      <c r="Y33" s="2" t="str">
        <f>"CET-4"</f>
        <v>CET-4</v>
      </c>
      <c r="Z33" s="2" t="str">
        <f>"熟练"</f>
        <v>熟练</v>
      </c>
      <c r="AA33" s="2" t="str">
        <f>"父亲|纪先平|海安联发集团|母亲|杨凤霞|退休||||||"</f>
        <v>父亲|纪先平|海安联发集团|母亲|杨凤霞|退休||||||</v>
      </c>
      <c r="AB33" s="2" t="str">
        <f>"2005.09-2009.06 南京信息工程大学经济管理学院信息管理与信息系统专业 学生_x000D_
2010.06-2012.06 江苏国恒建设发展有限公司 资料员_x000D_
2012.06-2018.11 海安市公共资源交易中心 办事员（编外）"</f>
        <v>2005.09-2009.06 南京信息工程大学经济管理学院信息管理与信息系统专业 学生_x000D_
2010.06-2012.06 江苏国恒建设发展有限公司 资料员_x000D_
2012.06-2018.11 海安市公共资源交易中心 办事员（编外）</v>
      </c>
      <c r="AC33" s="2" t="str">
        <f>"无"</f>
        <v>无</v>
      </c>
      <c r="AD33" s="2" t="str">
        <f>""</f>
        <v/>
      </c>
      <c r="AE33" s="4">
        <v>43430.578923611109</v>
      </c>
      <c r="AF33" s="2">
        <v>1</v>
      </c>
      <c r="AG33" s="2">
        <v>1</v>
      </c>
      <c r="AH33" s="2">
        <v>2</v>
      </c>
      <c r="AI33" s="2" t="str">
        <f>"18002028908"</f>
        <v>18002028908</v>
      </c>
      <c r="AJ33" s="2">
        <v>89</v>
      </c>
      <c r="AK33" s="2">
        <v>8</v>
      </c>
      <c r="AL33" s="2" t="s">
        <v>42</v>
      </c>
      <c r="AM33" s="2" t="s">
        <v>43</v>
      </c>
      <c r="AN33" s="2">
        <v>2</v>
      </c>
      <c r="AO33" s="2">
        <v>8948</v>
      </c>
      <c r="AP33" s="2" t="s">
        <v>67</v>
      </c>
      <c r="AQ33" s="2"/>
      <c r="AR33" s="2" t="s">
        <v>104</v>
      </c>
      <c r="AS33" s="3" t="s">
        <v>109</v>
      </c>
      <c r="AT33" s="2">
        <v>80</v>
      </c>
      <c r="AU33" s="2" t="s">
        <v>117</v>
      </c>
      <c r="AV33" s="6">
        <f t="shared" si="22"/>
        <v>80</v>
      </c>
      <c r="AW33" s="2">
        <v>3</v>
      </c>
      <c r="AX33" s="2"/>
      <c r="AY33" s="2"/>
    </row>
    <row r="34" spans="1:51" ht="18.75" customHeight="1">
      <c r="A34" t="str">
        <f>"1002201811261721132368"</f>
        <v>1002201811261721132368</v>
      </c>
      <c r="B34" s="9">
        <v>32</v>
      </c>
      <c r="C34" s="2" t="s">
        <v>231</v>
      </c>
      <c r="D34" s="2" t="str">
        <f>"彭佳艳"</f>
        <v>彭佳艳</v>
      </c>
      <c r="E34" s="2" t="str">
        <f>"女"</f>
        <v>女</v>
      </c>
      <c r="F34" s="2" t="str">
        <f>"1994-06-05"</f>
        <v>1994-06-05</v>
      </c>
      <c r="G34" s="2" t="str">
        <f>"320623199406050626"</f>
        <v>320623199406050626</v>
      </c>
      <c r="H34" s="2" t="str">
        <f>"江苏省南通市如东县曹埠镇甜水村二十三组"</f>
        <v>江苏省南通市如东县曹埠镇甜水村二十三组</v>
      </c>
      <c r="I34" s="2" t="str">
        <f t="shared" ref="I34:I37" si="23">"应届生"</f>
        <v>应届生</v>
      </c>
      <c r="J34" s="2" t="str">
        <f t="shared" ref="J34:J40" si="24">"无"</f>
        <v>无</v>
      </c>
      <c r="K34" s="2" t="str">
        <f>"2019.06"</f>
        <v>2019.06</v>
      </c>
      <c r="L34" s="2" t="str">
        <f>"研究生"</f>
        <v>研究生</v>
      </c>
      <c r="M34" s="2" t="str">
        <f>"扬州大学"</f>
        <v>扬州大学</v>
      </c>
      <c r="N34" s="2" t="str">
        <f>"中国现当代文学"</f>
        <v>中国现当代文学</v>
      </c>
      <c r="O34" s="2" t="str">
        <f>"硕士"</f>
        <v>硕士</v>
      </c>
      <c r="P34" s="2" t="str">
        <f>"162"</f>
        <v>162</v>
      </c>
      <c r="Q34" s="2" t="str">
        <f t="shared" ref="Q34:R38" si="25">"无"</f>
        <v>无</v>
      </c>
      <c r="R34" s="2" t="str">
        <f t="shared" si="25"/>
        <v>无</v>
      </c>
      <c r="S34" s="2" t="str">
        <f>"江苏省南通市如东县曹埠镇甜水村二十三组"</f>
        <v>江苏省南通市如东县曹埠镇甜水村二十三组</v>
      </c>
      <c r="T34" s="2" t="str">
        <f>"226402"</f>
        <v>226402</v>
      </c>
      <c r="U34" s="2" t="str">
        <f>"13057043008"</f>
        <v>13057043008</v>
      </c>
      <c r="V34" s="2" t="str">
        <f>"13056333925"</f>
        <v>13056333925</v>
      </c>
      <c r="W34" s="2" t="str">
        <f>"二级甲等"</f>
        <v>二级甲等</v>
      </c>
      <c r="X34" s="2" t="str">
        <f t="shared" si="4"/>
        <v>否</v>
      </c>
      <c r="Y34" s="2" t="str">
        <f>"英语六级"</f>
        <v>英语六级</v>
      </c>
      <c r="Z34" s="2" t="str">
        <f>"无"</f>
        <v>无</v>
      </c>
      <c r="AA34" s="2" t="str">
        <f>"父女|彭友明|江苏省南通市如东县曹埠镇甜水村二十三组|||||||||"</f>
        <v>父女|彭友明|江苏省南通市如东县曹埠镇甜水村二十三组|||||||||</v>
      </c>
      <c r="AB34" s="2" t="str">
        <f>"2009.09-2012.06 如东县马塘中学 学生_x000D_
2012.09-2016.06 扬州大学新闻与传媒学院电视编导专业 学生_x000D_
2016.09-2019.06 扬州大学文学院中国现当代文学专业 学生"</f>
        <v>2009.09-2012.06 如东县马塘中学 学生_x000D_
2012.09-2016.06 扬州大学新闻与传媒学院电视编导专业 学生_x000D_
2016.09-2019.06 扬州大学文学院中国现当代文学专业 学生</v>
      </c>
      <c r="AC34" s="2" t="str">
        <f>"研究生专业为中文文秘类"</f>
        <v>研究生专业为中文文秘类</v>
      </c>
      <c r="AD34" s="2" t="str">
        <f>""</f>
        <v/>
      </c>
      <c r="AE34" s="4">
        <v>43431.430023148147</v>
      </c>
      <c r="AF34" s="2">
        <v>1</v>
      </c>
      <c r="AG34" s="2">
        <v>1</v>
      </c>
      <c r="AH34" s="2">
        <v>3</v>
      </c>
      <c r="AI34" s="2" t="str">
        <f>"18002020119"</f>
        <v>18002020119</v>
      </c>
      <c r="AJ34" s="2">
        <v>1</v>
      </c>
      <c r="AK34" s="2">
        <v>19</v>
      </c>
      <c r="AL34" s="2" t="s">
        <v>42</v>
      </c>
      <c r="AM34" s="2" t="s">
        <v>43</v>
      </c>
      <c r="AN34" s="2">
        <v>2</v>
      </c>
      <c r="AO34" s="2">
        <v>965</v>
      </c>
      <c r="AP34" s="2" t="s">
        <v>232</v>
      </c>
      <c r="AQ34" s="2"/>
      <c r="AR34" s="2" t="s">
        <v>330</v>
      </c>
      <c r="AS34" s="3" t="s">
        <v>331</v>
      </c>
      <c r="AT34" s="2" t="s">
        <v>117</v>
      </c>
      <c r="AU34" s="2" t="s">
        <v>117</v>
      </c>
      <c r="AV34" s="7">
        <v>71.099999999999994</v>
      </c>
      <c r="AW34" s="2">
        <v>1</v>
      </c>
      <c r="AX34" s="2"/>
      <c r="AY34" s="2"/>
    </row>
    <row r="35" spans="1:51" ht="18.75" customHeight="1">
      <c r="A35" t="str">
        <f>"1002201811261759272443"</f>
        <v>1002201811261759272443</v>
      </c>
      <c r="B35" s="9">
        <v>33</v>
      </c>
      <c r="C35" s="2" t="s">
        <v>231</v>
      </c>
      <c r="D35" s="2" t="str">
        <f>"郭蕊"</f>
        <v>郭蕊</v>
      </c>
      <c r="E35" s="2" t="str">
        <f>"女"</f>
        <v>女</v>
      </c>
      <c r="F35" s="2" t="str">
        <f>"1997-01-10"</f>
        <v>1997-01-10</v>
      </c>
      <c r="G35" s="2" t="str">
        <f>"32128319970110002X"</f>
        <v>32128319970110002X</v>
      </c>
      <c r="H35" s="2" t="str">
        <f>"江苏省泰兴市"</f>
        <v>江苏省泰兴市</v>
      </c>
      <c r="I35" s="2" t="str">
        <f t="shared" si="23"/>
        <v>应届生</v>
      </c>
      <c r="J35" s="2" t="str">
        <f t="shared" si="24"/>
        <v>无</v>
      </c>
      <c r="K35" s="2" t="str">
        <f>"2019.7"</f>
        <v>2019.7</v>
      </c>
      <c r="L35" s="2" t="str">
        <f>"学士"</f>
        <v>学士</v>
      </c>
      <c r="M35" s="2" t="str">
        <f>"西北大学"</f>
        <v>西北大学</v>
      </c>
      <c r="N35" s="2" t="str">
        <f>"新闻学"</f>
        <v>新闻学</v>
      </c>
      <c r="O35" s="2" t="str">
        <f>"本科"</f>
        <v>本科</v>
      </c>
      <c r="P35" s="2" t="str">
        <f>"155"</f>
        <v>155</v>
      </c>
      <c r="Q35" s="2" t="str">
        <f t="shared" si="25"/>
        <v>无</v>
      </c>
      <c r="R35" s="2" t="str">
        <f t="shared" si="25"/>
        <v>无</v>
      </c>
      <c r="S35" s="2" t="str">
        <f>"江苏省泰州市泰兴市新能源新城市花园和谐苑10栋501"</f>
        <v>江苏省泰州市泰兴市新能源新城市花园和谐苑10栋501</v>
      </c>
      <c r="T35" s="2" t="str">
        <f>"225400"</f>
        <v>225400</v>
      </c>
      <c r="U35" s="2" t="str">
        <f>"87636928"</f>
        <v>87636928</v>
      </c>
      <c r="V35" s="2" t="str">
        <f>"18220197716"</f>
        <v>18220197716</v>
      </c>
      <c r="W35" s="2" t="str">
        <f>"二级"</f>
        <v>二级</v>
      </c>
      <c r="X35" s="2" t="str">
        <f>"是"</f>
        <v>是</v>
      </c>
      <c r="Y35" s="2" t="str">
        <f>"通过CET-6"</f>
        <v>通过CET-6</v>
      </c>
      <c r="Z35" s="2" t="str">
        <f>"无"</f>
        <v>无</v>
      </c>
      <c r="AA35" s="2" t="str">
        <f>"父亲|郭国洪|泰兴市疾病预防控制中心|母亲|芦娟华|泰兴市第二百货商店||||||"</f>
        <v>父亲|郭国洪|泰兴市疾病预防控制中心|母亲|芦娟华|泰兴市第二百货商店||||||</v>
      </c>
      <c r="AB35" s="2" t="str">
        <f>"2012.09-2015.06江苏省泰兴中学_x000D_
2015.09-2019.07陕西省西北大学"</f>
        <v>2012.09-2015.06江苏省泰兴中学_x000D_
2015.09-2019.07陕西省西北大学</v>
      </c>
      <c r="AC35" s="2" t="str">
        <f>"无"</f>
        <v>无</v>
      </c>
      <c r="AD35" s="2" t="str">
        <f>"无"</f>
        <v>无</v>
      </c>
      <c r="AE35" s="4">
        <v>43431.348379629628</v>
      </c>
      <c r="AF35" s="2">
        <v>1</v>
      </c>
      <c r="AG35" s="2">
        <v>1</v>
      </c>
      <c r="AH35" s="2">
        <v>1</v>
      </c>
      <c r="AI35" s="2" t="str">
        <f>"18002020205"</f>
        <v>18002020205</v>
      </c>
      <c r="AJ35" s="2">
        <v>2</v>
      </c>
      <c r="AK35" s="2">
        <v>5</v>
      </c>
      <c r="AL35" s="2" t="s">
        <v>42</v>
      </c>
      <c r="AM35" s="2" t="s">
        <v>43</v>
      </c>
      <c r="AN35" s="2">
        <v>2</v>
      </c>
      <c r="AO35" s="2">
        <v>6874</v>
      </c>
      <c r="AP35" s="2" t="s">
        <v>234</v>
      </c>
      <c r="AQ35" s="2"/>
      <c r="AR35" s="2" t="s">
        <v>330</v>
      </c>
      <c r="AS35" s="3" t="s">
        <v>331</v>
      </c>
      <c r="AT35" s="2" t="s">
        <v>117</v>
      </c>
      <c r="AU35" s="2" t="s">
        <v>117</v>
      </c>
      <c r="AV35" s="7">
        <v>68.25</v>
      </c>
      <c r="AW35" s="2">
        <v>2</v>
      </c>
      <c r="AX35" s="2"/>
      <c r="AY35" s="2"/>
    </row>
    <row r="36" spans="1:51" ht="18.75" customHeight="1">
      <c r="A36" t="str">
        <f>"100220181126090954265"</f>
        <v>100220181126090954265</v>
      </c>
      <c r="B36" s="9">
        <v>34</v>
      </c>
      <c r="C36" s="2" t="s">
        <v>231</v>
      </c>
      <c r="D36" s="2" t="str">
        <f>"谭迪"</f>
        <v>谭迪</v>
      </c>
      <c r="E36" s="2" t="str">
        <f>"男"</f>
        <v>男</v>
      </c>
      <c r="F36" s="2" t="str">
        <f>"1993-04-29"</f>
        <v>1993-04-29</v>
      </c>
      <c r="G36" s="2" t="str">
        <f>"422801199304290619"</f>
        <v>422801199304290619</v>
      </c>
      <c r="H36" s="2" t="str">
        <f>"湖北省宜昌市伍家岗区"</f>
        <v>湖北省宜昌市伍家岗区</v>
      </c>
      <c r="I36" s="2" t="str">
        <f t="shared" si="23"/>
        <v>应届生</v>
      </c>
      <c r="J36" s="2" t="str">
        <f t="shared" si="24"/>
        <v>无</v>
      </c>
      <c r="K36" s="2" t="str">
        <f>"2019.06"</f>
        <v>2019.06</v>
      </c>
      <c r="L36" s="2" t="str">
        <f>"研究生"</f>
        <v>研究生</v>
      </c>
      <c r="M36" s="2" t="str">
        <f>"福建师范大学"</f>
        <v>福建师范大学</v>
      </c>
      <c r="N36" s="2" t="str">
        <f>"古代文学"</f>
        <v>古代文学</v>
      </c>
      <c r="O36" s="2" t="str">
        <f>"硕士"</f>
        <v>硕士</v>
      </c>
      <c r="P36" s="2" t="str">
        <f>"174"</f>
        <v>174</v>
      </c>
      <c r="Q36" s="2" t="str">
        <f t="shared" si="25"/>
        <v>无</v>
      </c>
      <c r="R36" s="2" t="str">
        <f t="shared" si="25"/>
        <v>无</v>
      </c>
      <c r="S36" s="2" t="str">
        <f>"福建师范大学"</f>
        <v>福建师范大学</v>
      </c>
      <c r="T36" s="2" t="str">
        <f>"350000"</f>
        <v>350000</v>
      </c>
      <c r="U36" s="2" t="str">
        <f>"18259175598"</f>
        <v>18259175598</v>
      </c>
      <c r="V36" s="2" t="str">
        <f>"18259175598"</f>
        <v>18259175598</v>
      </c>
      <c r="W36" s="2" t="str">
        <f>"二级乙等"</f>
        <v>二级乙等</v>
      </c>
      <c r="X36" s="2" t="str">
        <f t="shared" ref="X36:X99" si="26">"否"</f>
        <v>否</v>
      </c>
      <c r="Y36" s="2" t="str">
        <f>"无"</f>
        <v>无</v>
      </c>
      <c r="Z36" s="2" t="str">
        <f>"无"</f>
        <v>无</v>
      </c>
      <c r="AA36" s="2" t="str">
        <f>"母亲|沈丽蓉|自由职业|父亲|谭大勇|恩施供电公司||||||"</f>
        <v>母亲|沈丽蓉|自由职业|父亲|谭大勇|恩施供电公司||||||</v>
      </c>
      <c r="AB36" s="2" t="str">
        <f>"2008.09-2011.06 夷陵中学 学生_x000D_
2011.09-2014.06 安徽新闻出版职业技术学院 学生_x000D_
2014.09-2016.06 巢湖学院 学生_x000D_
2016.09-2019.06 福建师范大学 学生"</f>
        <v>2008.09-2011.06 夷陵中学 学生_x000D_
2011.09-2014.06 安徽新闻出版职业技术学院 学生_x000D_
2014.09-2016.06 巢湖学院 学生_x000D_
2016.09-2019.06 福建师范大学 学生</v>
      </c>
      <c r="AC36" s="2" t="str">
        <f>"应届生，中文文秘类"</f>
        <v>应届生，中文文秘类</v>
      </c>
      <c r="AD36" s="2" t="str">
        <f>""</f>
        <v/>
      </c>
      <c r="AE36" s="4">
        <v>43430.684513888889</v>
      </c>
      <c r="AF36" s="2">
        <v>1</v>
      </c>
      <c r="AG36" s="2">
        <v>1</v>
      </c>
      <c r="AH36" s="2">
        <v>3</v>
      </c>
      <c r="AI36" s="2" t="str">
        <f>"18002020127"</f>
        <v>18002020127</v>
      </c>
      <c r="AJ36" s="2">
        <v>1</v>
      </c>
      <c r="AK36" s="2">
        <v>27</v>
      </c>
      <c r="AL36" s="2" t="s">
        <v>42</v>
      </c>
      <c r="AM36" s="2" t="s">
        <v>43</v>
      </c>
      <c r="AN36" s="2">
        <v>2</v>
      </c>
      <c r="AO36" s="2">
        <v>5418</v>
      </c>
      <c r="AP36" s="2" t="s">
        <v>233</v>
      </c>
      <c r="AQ36" s="2"/>
      <c r="AR36" s="2" t="s">
        <v>330</v>
      </c>
      <c r="AS36" s="3" t="s">
        <v>331</v>
      </c>
      <c r="AT36" s="2" t="s">
        <v>117</v>
      </c>
      <c r="AU36" s="2" t="s">
        <v>117</v>
      </c>
      <c r="AV36" s="7">
        <v>67.45</v>
      </c>
      <c r="AW36" s="2">
        <v>3</v>
      </c>
      <c r="AX36" s="2"/>
      <c r="AY36" s="2"/>
    </row>
    <row r="37" spans="1:51" ht="18.75" customHeight="1">
      <c r="A37" t="str">
        <f>"1002201811282236255406"</f>
        <v>1002201811282236255406</v>
      </c>
      <c r="B37" s="9">
        <v>35</v>
      </c>
      <c r="C37" s="2" t="s">
        <v>231</v>
      </c>
      <c r="D37" s="2" t="str">
        <f>"朱顺强"</f>
        <v>朱顺强</v>
      </c>
      <c r="E37" s="2" t="str">
        <f>"男"</f>
        <v>男</v>
      </c>
      <c r="F37" s="2" t="str">
        <f>"1996-09-11"</f>
        <v>1996-09-11</v>
      </c>
      <c r="G37" s="2" t="str">
        <f>"321202199609112433"</f>
        <v>321202199609112433</v>
      </c>
      <c r="H37" s="2" t="str">
        <f>"江苏省泰州市"</f>
        <v>江苏省泰州市</v>
      </c>
      <c r="I37" s="2" t="str">
        <f t="shared" si="23"/>
        <v>应届生</v>
      </c>
      <c r="J37" s="2" t="str">
        <f t="shared" si="24"/>
        <v>无</v>
      </c>
      <c r="K37" s="2" t="str">
        <f>"2019.06"</f>
        <v>2019.06</v>
      </c>
      <c r="L37" s="2" t="str">
        <f t="shared" ref="L37:L40" si="27">"学士"</f>
        <v>学士</v>
      </c>
      <c r="M37" s="2" t="str">
        <f>"南通大学"</f>
        <v>南通大学</v>
      </c>
      <c r="N37" s="2" t="str">
        <f>"秘书学"</f>
        <v>秘书学</v>
      </c>
      <c r="O37" s="2" t="str">
        <f t="shared" ref="O37:O45" si="28">"本科"</f>
        <v>本科</v>
      </c>
      <c r="P37" s="2" t="str">
        <f>"180"</f>
        <v>180</v>
      </c>
      <c r="Q37" s="2" t="str">
        <f t="shared" si="25"/>
        <v>无</v>
      </c>
      <c r="R37" s="2" t="str">
        <f t="shared" si="25"/>
        <v>无</v>
      </c>
      <c r="S37" s="2" t="str">
        <f>"江苏省泰州市海陵区九龙镇府前社区十一组92号"</f>
        <v>江苏省泰州市海陵区九龙镇府前社区十一组92号</v>
      </c>
      <c r="T37" s="2" t="str">
        <f>"225300"</f>
        <v>225300</v>
      </c>
      <c r="U37" s="2" t="str">
        <f>"无"</f>
        <v>无</v>
      </c>
      <c r="V37" s="2" t="str">
        <f>"18862809560"</f>
        <v>18862809560</v>
      </c>
      <c r="W37" s="2" t="str">
        <f>"二级乙等"</f>
        <v>二级乙等</v>
      </c>
      <c r="X37" s="2" t="str">
        <f t="shared" si="26"/>
        <v>否</v>
      </c>
      <c r="Y37" s="2" t="str">
        <f>"全国大学生英语等级考试六级"</f>
        <v>全国大学生英语等级考试六级</v>
      </c>
      <c r="Z37" s="2" t="str">
        <f>"江苏省计算机二级"</f>
        <v>江苏省计算机二级</v>
      </c>
      <c r="AA37" s="2" t="str">
        <f>"父子|朱志明|泰州市海陵区九龙镇府前社区|母子|竺年粉|泰州市海陵区九龙镇府前社区|爷孙|朱龙旺|泰州市海陵区九龙镇府前社区|奶孙|吕罗粉|泰州市海陵区九龙镇府前社区"</f>
        <v>父子|朱志明|泰州市海陵区九龙镇府前社区|母子|竺年粉|泰州市海陵区九龙镇府前社区|爷孙|朱龙旺|泰州市海陵区九龙镇府前社区|奶孙|吕罗粉|泰州市海陵区九龙镇府前社区</v>
      </c>
      <c r="AB37" s="2" t="str">
        <f>"2012.09-2015.06 江苏省泰州中学 学生_x000D_
2015.09至今 南通大学文学院秘书学专业 学生"</f>
        <v>2012.09-2015.06 江苏省泰州中学 学生_x000D_
2015.09至今 南通大学文学院秘书学专业 学生</v>
      </c>
      <c r="AC37" s="2" t="str">
        <f>"政治面貌：中共预备党员"</f>
        <v>政治面貌：中共预备党员</v>
      </c>
      <c r="AD37" s="2" t="str">
        <f>"无"</f>
        <v>无</v>
      </c>
      <c r="AE37" s="4">
        <v>43433.358171296299</v>
      </c>
      <c r="AF37" s="2">
        <v>1</v>
      </c>
      <c r="AG37" s="2">
        <v>1</v>
      </c>
      <c r="AH37" s="2">
        <v>6</v>
      </c>
      <c r="AI37" s="2" t="str">
        <f>"18002020203"</f>
        <v>18002020203</v>
      </c>
      <c r="AJ37" s="2">
        <v>2</v>
      </c>
      <c r="AK37" s="2">
        <v>3</v>
      </c>
      <c r="AL37" s="2" t="s">
        <v>42</v>
      </c>
      <c r="AM37" s="2" t="s">
        <v>43</v>
      </c>
      <c r="AN37" s="2">
        <v>2</v>
      </c>
      <c r="AO37" s="2">
        <v>6501</v>
      </c>
      <c r="AP37" s="2" t="s">
        <v>139</v>
      </c>
      <c r="AQ37" s="2"/>
      <c r="AR37" s="2" t="s">
        <v>330</v>
      </c>
      <c r="AS37" s="3" t="s">
        <v>331</v>
      </c>
      <c r="AT37" s="2" t="s">
        <v>117</v>
      </c>
      <c r="AU37" s="2" t="s">
        <v>117</v>
      </c>
      <c r="AV37" s="7">
        <v>67.45</v>
      </c>
      <c r="AW37" s="2">
        <v>3</v>
      </c>
      <c r="AX37" s="2"/>
      <c r="AY37" s="2"/>
    </row>
    <row r="38" spans="1:51" ht="18.75" customHeight="1">
      <c r="A38" t="str">
        <f>"1002201811290946145579"</f>
        <v>1002201811290946145579</v>
      </c>
      <c r="B38" s="9">
        <v>36</v>
      </c>
      <c r="C38" s="2" t="s">
        <v>235</v>
      </c>
      <c r="D38" s="2" t="str">
        <f>"苗殷璇"</f>
        <v>苗殷璇</v>
      </c>
      <c r="E38" s="2" t="str">
        <f>"女"</f>
        <v>女</v>
      </c>
      <c r="F38" s="2" t="str">
        <f>"1992-10-28"</f>
        <v>1992-10-28</v>
      </c>
      <c r="G38" s="2" t="str">
        <f>"320722199210282029"</f>
        <v>320722199210282029</v>
      </c>
      <c r="H38" s="2" t="str">
        <f>"江苏连云港"</f>
        <v>江苏连云港</v>
      </c>
      <c r="I38" s="2" t="str">
        <f t="shared" ref="I38:I43" si="29">"非应届生"</f>
        <v>非应届生</v>
      </c>
      <c r="J38" s="2" t="str">
        <f t="shared" si="24"/>
        <v>无</v>
      </c>
      <c r="K38" s="2" t="str">
        <f>"2014.7"</f>
        <v>2014.7</v>
      </c>
      <c r="L38" s="2" t="str">
        <f t="shared" si="27"/>
        <v>学士</v>
      </c>
      <c r="M38" s="2" t="str">
        <f>"江苏科技大学"</f>
        <v>江苏科技大学</v>
      </c>
      <c r="N38" s="2" t="str">
        <f>"环境工程"</f>
        <v>环境工程</v>
      </c>
      <c r="O38" s="2" t="str">
        <f t="shared" si="28"/>
        <v>本科</v>
      </c>
      <c r="P38" s="2" t="str">
        <f>"160"</f>
        <v>160</v>
      </c>
      <c r="Q38" s="2" t="str">
        <f t="shared" si="25"/>
        <v>无</v>
      </c>
      <c r="R38" s="2" t="str">
        <f>"2014.12"</f>
        <v>2014.12</v>
      </c>
      <c r="S38" s="2" t="str">
        <f>"江苏省连云港市海州区朝阳中路180-8号2-402"</f>
        <v>江苏省连云港市海州区朝阳中路180-8号2-402</v>
      </c>
      <c r="T38" s="2" t="str">
        <f>"222000"</f>
        <v>222000</v>
      </c>
      <c r="U38" s="2" t="str">
        <f>"无"</f>
        <v>无</v>
      </c>
      <c r="V38" s="2" t="str">
        <f>"13951495037"</f>
        <v>13951495037</v>
      </c>
      <c r="W38" s="2" t="str">
        <f>"二级乙等"</f>
        <v>二级乙等</v>
      </c>
      <c r="X38" s="2" t="str">
        <f t="shared" si="26"/>
        <v>否</v>
      </c>
      <c r="Y38" s="2" t="str">
        <f>"无"</f>
        <v>无</v>
      </c>
      <c r="Z38" s="2" t="str">
        <f>"无"</f>
        <v>无</v>
      </c>
      <c r="AA38" s="2" t="str">
        <f>"父亲|苗臣浦|连云港市岗埠中学|母亲|郭先梅|个体||||||"</f>
        <v>父亲|苗臣浦|连云港市岗埠中学|母亲|郭先梅|个体||||||</v>
      </c>
      <c r="AB38" s="2" t="str">
        <f>"2007.09-2010.07 江苏省东海高级中学 学生
2010.09-2014.07 江苏科技大学 学生
2015.01--2016.02平安普惠投资咨询有限公司连云港海州分公司 职员
2016.03—2018.04 民生人寿保险股份有限公司连云港中心支公司 职员"</f>
        <v>2007.09-2010.07 江苏省东海高级中学 学生
2010.09-2014.07 江苏科技大学 学生
2015.01--2016.02平安普惠投资咨询有限公司连云港海州分公司 职员
2016.03—2018.04 民生人寿保险股份有限公司连云港中心支公司 职员</v>
      </c>
      <c r="AC38" s="2" t="str">
        <f>"无"</f>
        <v>无</v>
      </c>
      <c r="AD38" s="2" t="str">
        <f>""</f>
        <v/>
      </c>
      <c r="AE38" s="4">
        <v>43433.698657407411</v>
      </c>
      <c r="AF38" s="2">
        <v>1</v>
      </c>
      <c r="AG38" s="2">
        <v>1</v>
      </c>
      <c r="AH38" s="2">
        <v>3</v>
      </c>
      <c r="AI38" s="2" t="str">
        <f>"18002020304"</f>
        <v>18002020304</v>
      </c>
      <c r="AJ38" s="2">
        <v>3</v>
      </c>
      <c r="AK38" s="2">
        <v>4</v>
      </c>
      <c r="AL38" s="2" t="s">
        <v>42</v>
      </c>
      <c r="AM38" s="2" t="s">
        <v>43</v>
      </c>
      <c r="AN38" s="2">
        <v>2</v>
      </c>
      <c r="AO38" s="2">
        <v>6678</v>
      </c>
      <c r="AP38" s="2" t="s">
        <v>236</v>
      </c>
      <c r="AQ38" s="2"/>
      <c r="AR38" s="2" t="s">
        <v>330</v>
      </c>
      <c r="AS38" s="3" t="s">
        <v>331</v>
      </c>
      <c r="AT38" s="2" t="s">
        <v>117</v>
      </c>
      <c r="AU38" s="2" t="s">
        <v>117</v>
      </c>
      <c r="AV38" s="7">
        <v>71.7</v>
      </c>
      <c r="AW38" s="2">
        <v>1</v>
      </c>
      <c r="AX38" s="2"/>
      <c r="AY38" s="2"/>
    </row>
    <row r="39" spans="1:51" ht="18.75" customHeight="1">
      <c r="A39" t="str">
        <f>"1002201811271122583521"</f>
        <v>1002201811271122583521</v>
      </c>
      <c r="B39" s="9">
        <v>37</v>
      </c>
      <c r="C39" s="2" t="s">
        <v>235</v>
      </c>
      <c r="D39" s="2" t="str">
        <f>"丰静"</f>
        <v>丰静</v>
      </c>
      <c r="E39" s="2" t="str">
        <f>"女"</f>
        <v>女</v>
      </c>
      <c r="F39" s="2" t="str">
        <f>"1993-07-10"</f>
        <v>1993-07-10</v>
      </c>
      <c r="G39" s="2" t="str">
        <f>"320621199307103347"</f>
        <v>320621199307103347</v>
      </c>
      <c r="H39" s="2" t="str">
        <f>"江苏海安"</f>
        <v>江苏海安</v>
      </c>
      <c r="I39" s="2" t="str">
        <f t="shared" si="29"/>
        <v>非应届生</v>
      </c>
      <c r="J39" s="2" t="str">
        <f t="shared" si="24"/>
        <v>无</v>
      </c>
      <c r="K39" s="2" t="str">
        <f>"2016.06"</f>
        <v>2016.06</v>
      </c>
      <c r="L39" s="2" t="str">
        <f t="shared" si="27"/>
        <v>学士</v>
      </c>
      <c r="M39" s="2" t="str">
        <f>"苏州科技大学天平学院"</f>
        <v>苏州科技大学天平学院</v>
      </c>
      <c r="N39" s="2" t="str">
        <f>"环境工程"</f>
        <v>环境工程</v>
      </c>
      <c r="O39" s="2" t="str">
        <f t="shared" si="28"/>
        <v>本科</v>
      </c>
      <c r="P39" s="2" t="str">
        <f>"155cm"</f>
        <v>155cm</v>
      </c>
      <c r="Q39" s="2" t="str">
        <f>"泰州市海陵工业园区环保科"</f>
        <v>泰州市海陵工业园区环保科</v>
      </c>
      <c r="R39" s="2" t="str">
        <f>"2016.06"</f>
        <v>2016.06</v>
      </c>
      <c r="S39" s="2" t="str">
        <f>"江苏省海安市城东镇开屏花苑23幢205室"</f>
        <v>江苏省海安市城东镇开屏花苑23幢205室</v>
      </c>
      <c r="T39" s="2" t="str">
        <f>"226600"</f>
        <v>226600</v>
      </c>
      <c r="U39" s="2" t="str">
        <f>"0513-88356399"</f>
        <v>0513-88356399</v>
      </c>
      <c r="V39" s="2" t="str">
        <f>"15950874792"</f>
        <v>15950874792</v>
      </c>
      <c r="W39" s="2" t="str">
        <f>"二级乙"</f>
        <v>二级乙</v>
      </c>
      <c r="X39" s="2" t="str">
        <f t="shared" si="26"/>
        <v>否</v>
      </c>
      <c r="Y39" s="2" t="str">
        <f>"英语四级"</f>
        <v>英语四级</v>
      </c>
      <c r="Z39" s="2" t="str">
        <f>"一般"</f>
        <v>一般</v>
      </c>
      <c r="AA39" s="2" t="str">
        <f>"父亲|丰雨春|务农|母亲|章小平|务农||||||"</f>
        <v>父亲|丰雨春|务农|母亲|章小平|务农||||||</v>
      </c>
      <c r="AB39" s="2" t="str">
        <f>"2009.09-2012.06 海安市立发中学 学生_x000D_
2012.09-2016.06 苏州科技大学天平学院环境工程专业 学生_x000D_
2016.06-2016.09 苏州宇驰检测有限公司 检测员_x000D_
2016.09-2017.11 待业_x000D_
2017.11-2018.06 海安市城市管理局政策法规科  办事员_x000D_
2018.06-2018.10 海安市开发区管委会263办公室  办事员_x000D_
2018.10-至今  泰州市海陵工业园区环保科   办事员"</f>
        <v>2009.09-2012.06 海安市立发中学 学生_x000D_
2012.09-2016.06 苏州科技大学天平学院环境工程专业 学生_x000D_
2016.06-2016.09 苏州宇驰检测有限公司 检测员_x000D_
2016.09-2017.11 待业_x000D_
2017.11-2018.06 海安市城市管理局政策法规科  办事员_x000D_
2018.06-2018.10 海安市开发区管委会263办公室  办事员_x000D_
2018.10-至今  泰州市海陵工业园区环保科   办事员</v>
      </c>
      <c r="AC39" s="2" t="str">
        <f>"环境工程专业"</f>
        <v>环境工程专业</v>
      </c>
      <c r="AD39" s="2" t="str">
        <f>"无"</f>
        <v>无</v>
      </c>
      <c r="AE39" s="4">
        <v>43431.59516203704</v>
      </c>
      <c r="AF39" s="2">
        <v>1</v>
      </c>
      <c r="AG39" s="2">
        <v>1</v>
      </c>
      <c r="AH39" s="2">
        <v>3</v>
      </c>
      <c r="AI39" s="2" t="str">
        <f>"18002020307"</f>
        <v>18002020307</v>
      </c>
      <c r="AJ39" s="2">
        <v>3</v>
      </c>
      <c r="AK39" s="2">
        <v>7</v>
      </c>
      <c r="AL39" s="2" t="s">
        <v>42</v>
      </c>
      <c r="AM39" s="2" t="s">
        <v>43</v>
      </c>
      <c r="AN39" s="2">
        <v>2</v>
      </c>
      <c r="AO39" s="2">
        <v>8512</v>
      </c>
      <c r="AP39" s="2" t="s">
        <v>184</v>
      </c>
      <c r="AQ39" s="2"/>
      <c r="AR39" s="2" t="s">
        <v>330</v>
      </c>
      <c r="AS39" s="3" t="s">
        <v>331</v>
      </c>
      <c r="AT39" s="2" t="s">
        <v>117</v>
      </c>
      <c r="AU39" s="2" t="s">
        <v>117</v>
      </c>
      <c r="AV39" s="7">
        <v>70.5</v>
      </c>
      <c r="AW39" s="2">
        <v>2</v>
      </c>
      <c r="AX39" s="2"/>
      <c r="AY39" s="2"/>
    </row>
    <row r="40" spans="1:51" ht="18.75" customHeight="1">
      <c r="A40" t="str">
        <f>"100220181126094353621"</f>
        <v>100220181126094353621</v>
      </c>
      <c r="B40" s="9">
        <v>38</v>
      </c>
      <c r="C40" s="2" t="s">
        <v>235</v>
      </c>
      <c r="D40" s="2" t="str">
        <f>"陈俊丞"</f>
        <v>陈俊丞</v>
      </c>
      <c r="E40" s="2" t="str">
        <f>"男"</f>
        <v>男</v>
      </c>
      <c r="F40" s="2" t="str">
        <f>"1994-12-02"</f>
        <v>1994-12-02</v>
      </c>
      <c r="G40" s="2" t="str">
        <f>"320682199412028951"</f>
        <v>320682199412028951</v>
      </c>
      <c r="H40" s="2" t="str">
        <f>"江苏省如皋市如城镇"</f>
        <v>江苏省如皋市如城镇</v>
      </c>
      <c r="I40" s="2" t="str">
        <f t="shared" si="29"/>
        <v>非应届生</v>
      </c>
      <c r="J40" s="2" t="str">
        <f t="shared" si="24"/>
        <v>无</v>
      </c>
      <c r="K40" s="2" t="str">
        <f>"2017.7"</f>
        <v>2017.7</v>
      </c>
      <c r="L40" s="2" t="str">
        <f t="shared" si="27"/>
        <v>学士</v>
      </c>
      <c r="M40" s="2" t="str">
        <f>"浙江海洋大学"</f>
        <v>浙江海洋大学</v>
      </c>
      <c r="N40" s="2" t="str">
        <f>"环境工程"</f>
        <v>环境工程</v>
      </c>
      <c r="O40" s="2" t="str">
        <f t="shared" si="28"/>
        <v>本科</v>
      </c>
      <c r="P40" s="2" t="str">
        <f>"170"</f>
        <v>170</v>
      </c>
      <c r="Q40" s="2" t="str">
        <f>"无"</f>
        <v>无</v>
      </c>
      <c r="R40" s="2" t="str">
        <f>"2018.1"</f>
        <v>2018.1</v>
      </c>
      <c r="S40" s="2" t="str">
        <f>"江苏省如皋市如城镇蒲行苑103幢305室"</f>
        <v>江苏省如皋市如城镇蒲行苑103幢305室</v>
      </c>
      <c r="T40" s="2" t="str">
        <f>"226500"</f>
        <v>226500</v>
      </c>
      <c r="U40" s="2" t="str">
        <f>"0513-87533195"</f>
        <v>0513-87533195</v>
      </c>
      <c r="V40" s="2" t="str">
        <f>"17761952480"</f>
        <v>17761952480</v>
      </c>
      <c r="W40" s="2" t="str">
        <f>"二甲"</f>
        <v>二甲</v>
      </c>
      <c r="X40" s="2" t="str">
        <f t="shared" si="26"/>
        <v>否</v>
      </c>
      <c r="Y40" s="2" t="str">
        <f>"英语六级、留学日语"</f>
        <v>英语六级、留学日语</v>
      </c>
      <c r="Z40" s="2" t="str">
        <f>"熟练office、简单photoshop、简单vegas"</f>
        <v>熟练office、简单photoshop、简单vegas</v>
      </c>
      <c r="AA40" s="2" t="str">
        <f>"父子|陈建国|天平市场|母子|夏萍|天平市场|祖孙|徐瑞秀|退休|||"</f>
        <v>父子|陈建国|天平市场|母子|夏萍|天平市场|祖孙|徐瑞秀|退休|||</v>
      </c>
      <c r="AB40" s="2" t="str">
        <f>"2010.09-2011.01 白蒲高级中学 学生_x000D_
2011.02-2013.07 如皋中学 借读生_x000D_
2013.09-2017.07 浙江海洋大学环境工程专业 学生_x000D_
2016.03-2017.04 东京海洋大学环境工学系 特别听讲生_x000D_
2018.01-2018.06 食其家储备干部 职员_x000D_
2018.06-2018.10 携程海外酒店售后服务管家 职员"</f>
        <v>2010.09-2011.01 白蒲高级中学 学生_x000D_
2011.02-2013.07 如皋中学 借读生_x000D_
2013.09-2017.07 浙江海洋大学环境工程专业 学生_x000D_
2016.03-2017.04 东京海洋大学环境工学系 特别听讲生_x000D_
2018.01-2018.06 食其家储备干部 职员_x000D_
2018.06-2018.10 携程海外酒店售后服务管家 职员</v>
      </c>
      <c r="AC40" s="2" t="str">
        <f>"无"</f>
        <v>无</v>
      </c>
      <c r="AD40" s="2" t="str">
        <f>""</f>
        <v/>
      </c>
      <c r="AE40" s="4">
        <v>43430.43309027778</v>
      </c>
      <c r="AF40" s="2">
        <v>1</v>
      </c>
      <c r="AG40" s="2">
        <v>1</v>
      </c>
      <c r="AH40" s="2">
        <v>1</v>
      </c>
      <c r="AI40" s="2" t="str">
        <f>"18002020308"</f>
        <v>18002020308</v>
      </c>
      <c r="AJ40" s="2">
        <v>3</v>
      </c>
      <c r="AK40" s="2">
        <v>8</v>
      </c>
      <c r="AL40" s="2" t="s">
        <v>42</v>
      </c>
      <c r="AM40" s="2" t="s">
        <v>43</v>
      </c>
      <c r="AN40" s="2">
        <v>2</v>
      </c>
      <c r="AO40" s="2">
        <v>8833</v>
      </c>
      <c r="AP40" s="2" t="s">
        <v>237</v>
      </c>
      <c r="AQ40" s="2"/>
      <c r="AR40" s="2" t="s">
        <v>330</v>
      </c>
      <c r="AS40" s="3" t="s">
        <v>331</v>
      </c>
      <c r="AT40" s="2" t="s">
        <v>117</v>
      </c>
      <c r="AU40" s="2" t="s">
        <v>117</v>
      </c>
      <c r="AV40" s="7">
        <v>69.3</v>
      </c>
      <c r="AW40" s="2">
        <v>3</v>
      </c>
      <c r="AX40" s="2"/>
      <c r="AY40" s="2"/>
    </row>
    <row r="41" spans="1:51" ht="18.75" customHeight="1">
      <c r="A41" t="str">
        <f>"1002201811261113221219"</f>
        <v>1002201811261113221219</v>
      </c>
      <c r="B41" s="9">
        <v>39</v>
      </c>
      <c r="C41" s="2" t="s">
        <v>238</v>
      </c>
      <c r="D41" s="2" t="str">
        <f>"冯湘婷"</f>
        <v>冯湘婷</v>
      </c>
      <c r="E41" s="2" t="str">
        <f>"女"</f>
        <v>女</v>
      </c>
      <c r="F41" s="2" t="str">
        <f>"1994-09-01"</f>
        <v>1994-09-01</v>
      </c>
      <c r="G41" s="2" t="str">
        <f>"320621199409012024"</f>
        <v>320621199409012024</v>
      </c>
      <c r="H41" s="2" t="str">
        <f>"江苏海安"</f>
        <v>江苏海安</v>
      </c>
      <c r="I41" s="2" t="str">
        <f t="shared" si="29"/>
        <v>非应届生</v>
      </c>
      <c r="J41" s="2" t="str">
        <f>"助理工程师"</f>
        <v>助理工程师</v>
      </c>
      <c r="K41" s="2" t="str">
        <f>"2016.06"</f>
        <v>2016.06</v>
      </c>
      <c r="L41" s="2" t="str">
        <f>"学士"</f>
        <v>学士</v>
      </c>
      <c r="M41" s="2" t="str">
        <f>"河海大学"</f>
        <v>河海大学</v>
      </c>
      <c r="N41" s="2" t="str">
        <f>"水务工程"</f>
        <v>水务工程</v>
      </c>
      <c r="O41" s="2" t="str">
        <f t="shared" si="28"/>
        <v>本科</v>
      </c>
      <c r="P41" s="2" t="str">
        <f>"160"</f>
        <v>160</v>
      </c>
      <c r="Q41" s="2" t="str">
        <f>"泰兴市水务局"</f>
        <v>泰兴市水务局</v>
      </c>
      <c r="R41" s="2" t="str">
        <f>"2016.08"</f>
        <v>2016.08</v>
      </c>
      <c r="S41" s="2" t="str">
        <f>"江苏省南通市海安市城东镇热港村20组25号"</f>
        <v>江苏省南通市海安市城东镇热港村20组25号</v>
      </c>
      <c r="T41" s="2" t="str">
        <f>"226621"</f>
        <v>226621</v>
      </c>
      <c r="U41" s="2" t="str">
        <f>"无"</f>
        <v>无</v>
      </c>
      <c r="V41" s="2" t="str">
        <f>"15190801723"</f>
        <v>15190801723</v>
      </c>
      <c r="W41" s="2" t="str">
        <f>"无"</f>
        <v>无</v>
      </c>
      <c r="X41" s="2" t="str">
        <f t="shared" si="26"/>
        <v>否</v>
      </c>
      <c r="Y41" s="2" t="str">
        <f>"英语六级"</f>
        <v>英语六级</v>
      </c>
      <c r="Z41" s="2" t="str">
        <f>"全国计算机二级"</f>
        <v>全国计算机二级</v>
      </c>
      <c r="AA41" s="2" t="str">
        <f>"父亲|冯平|农民|母亲|王爱英|农民||||||"</f>
        <v>父亲|冯平|农民|母亲|王爱英|农民||||||</v>
      </c>
      <c r="AB41" s="2" t="str">
        <f>"2009.09-2012.06 江苏省海安高级中学 学生_x000D_
2012.09-2016.06 河海大学水文水资源学院水务工程专业 学生_x000D_
2016.08-2017.07 江苏永辉水利工程设计有限公司_x000D_
2018.03至今 泰兴市水务局 办事员"</f>
        <v>2009.09-2012.06 江苏省海安高级中学 学生_x000D_
2012.09-2016.06 河海大学水文水资源学院水务工程专业 学生_x000D_
2016.08-2017.07 江苏永辉水利工程设计有限公司_x000D_
2018.03至今 泰兴市水务局 办事员</v>
      </c>
      <c r="AC41" s="2" t="str">
        <f t="shared" ref="AC41" si="30">"无"</f>
        <v>无</v>
      </c>
      <c r="AD41" s="2" t="str">
        <f>""</f>
        <v/>
      </c>
      <c r="AE41" s="4">
        <v>43433.399004629631</v>
      </c>
      <c r="AF41" s="2">
        <v>1</v>
      </c>
      <c r="AG41" s="2">
        <v>1</v>
      </c>
      <c r="AH41" s="2">
        <v>2</v>
      </c>
      <c r="AI41" s="2" t="str">
        <f>"18002020320"</f>
        <v>18002020320</v>
      </c>
      <c r="AJ41" s="2">
        <v>3</v>
      </c>
      <c r="AK41" s="2">
        <v>20</v>
      </c>
      <c r="AL41" s="2" t="s">
        <v>42</v>
      </c>
      <c r="AM41" s="2" t="s">
        <v>43</v>
      </c>
      <c r="AN41" s="2">
        <v>2</v>
      </c>
      <c r="AO41" s="2">
        <v>454</v>
      </c>
      <c r="AP41" s="2" t="s">
        <v>212</v>
      </c>
      <c r="AQ41" s="2"/>
      <c r="AR41" s="2" t="s">
        <v>330</v>
      </c>
      <c r="AS41" s="3" t="s">
        <v>331</v>
      </c>
      <c r="AT41" s="2" t="s">
        <v>117</v>
      </c>
      <c r="AU41" s="2" t="s">
        <v>117</v>
      </c>
      <c r="AV41" s="7">
        <v>70.25</v>
      </c>
      <c r="AW41" s="2">
        <v>1</v>
      </c>
      <c r="AX41" s="2"/>
      <c r="AY41" s="2"/>
    </row>
    <row r="42" spans="1:51" ht="18.75" customHeight="1">
      <c r="A42" t="str">
        <f>"1002201811280852514493"</f>
        <v>1002201811280852514493</v>
      </c>
      <c r="B42" s="9">
        <v>40</v>
      </c>
      <c r="C42" s="2" t="s">
        <v>238</v>
      </c>
      <c r="D42" s="2" t="str">
        <f>"张蔚"</f>
        <v>张蔚</v>
      </c>
      <c r="E42" s="2" t="str">
        <f>"女"</f>
        <v>女</v>
      </c>
      <c r="F42" s="2" t="str">
        <f>"1989-01-09"</f>
        <v>1989-01-09</v>
      </c>
      <c r="G42" s="2" t="str">
        <f>"320683198901090440"</f>
        <v>320683198901090440</v>
      </c>
      <c r="H42" s="2" t="str">
        <f>"南通"</f>
        <v>南通</v>
      </c>
      <c r="I42" s="2" t="str">
        <f t="shared" si="29"/>
        <v>非应届生</v>
      </c>
      <c r="J42" s="2" t="str">
        <f>"无"</f>
        <v>无</v>
      </c>
      <c r="K42" s="2" t="str">
        <f>"2018.07"</f>
        <v>2018.07</v>
      </c>
      <c r="L42" s="2" t="str">
        <f>"无"</f>
        <v>无</v>
      </c>
      <c r="M42" s="2" t="str">
        <f>"大连理工大学"</f>
        <v>大连理工大学</v>
      </c>
      <c r="N42" s="2" t="str">
        <f>"水利水电工程"</f>
        <v>水利水电工程</v>
      </c>
      <c r="O42" s="2" t="str">
        <f t="shared" si="28"/>
        <v>本科</v>
      </c>
      <c r="P42" s="2" t="str">
        <f>"161"</f>
        <v>161</v>
      </c>
      <c r="Q42" s="2" t="str">
        <f>"南通市公安局"</f>
        <v>南通市公安局</v>
      </c>
      <c r="R42" s="2" t="str">
        <f>"2011.05"</f>
        <v>2011.05</v>
      </c>
      <c r="S42" s="2" t="str">
        <f>"南通市港闸区嘉御龙庭6-1306"</f>
        <v>南通市港闸区嘉御龙庭6-1306</v>
      </c>
      <c r="T42" s="2" t="str">
        <f>"226300"</f>
        <v>226300</v>
      </c>
      <c r="U42" s="2" t="str">
        <f>"051366000068"</f>
        <v>051366000068</v>
      </c>
      <c r="V42" s="2" t="str">
        <f>"15006299001"</f>
        <v>15006299001</v>
      </c>
      <c r="W42" s="2" t="str">
        <f>"二级乙等"</f>
        <v>二级乙等</v>
      </c>
      <c r="X42" s="2" t="str">
        <f t="shared" si="26"/>
        <v>否</v>
      </c>
      <c r="Y42" s="2" t="str">
        <f>"一般"</f>
        <v>一般</v>
      </c>
      <c r="Z42" s="2" t="str">
        <f>"良好"</f>
        <v>良好</v>
      </c>
      <c r="AA42" s="2" t="str">
        <f>"丈夫|秦洋|通州区水利局|儿子|秦熙|南通市北城小学|儿子|张徐睿|学龄前儿童|||"</f>
        <v>丈夫|秦洋|通州区水利局|儿子|秦熙|南通市北城小学|儿子|张徐睿|学龄前儿童|||</v>
      </c>
      <c r="AB42" s="2" t="str">
        <f>"2004年9月-2007年6月：通州市职教中心 高中 _x000D_
2007年9月-2010年6月：苏州农业职业学院 全日制大学专科 机电一体化  学生_x000D_
2009年2月-2011年12月：苏州大学 本科 计算机信息管理 学生_x000D_
2016年3月-2018年7月：大连理工大学 本科 水利水电工程 学生_x000D_
2011年5月-2015年2月：中国移动通信集团江苏有限公司南通通州分公司 客户经理_x000D_
2017年6月至今：南通市公安局指挥中心接警指挥科 110报警台接警员"</f>
        <v>2004年9月-2007年6月：通州市职教中心 高中 _x000D_
2007年9月-2010年6月：苏州农业职业学院 全日制大学专科 机电一体化  学生_x000D_
2009年2月-2011年12月：苏州大学 本科 计算机信息管理 学生_x000D_
2016年3月-2018年7月：大连理工大学 本科 水利水电工程 学生_x000D_
2011年5月-2015年2月：中国移动通信集团江苏有限公司南通通州分公司 客户经理_x000D_
2017年6月至今：南通市公安局指挥中心接警指挥科 110报警台接警员</v>
      </c>
      <c r="AC42" s="2" t="str">
        <f>"本人是中国共产党员"</f>
        <v>本人是中国共产党员</v>
      </c>
      <c r="AD42" s="2" t="str">
        <f>""</f>
        <v/>
      </c>
      <c r="AE42" s="4">
        <v>43432.477835648147</v>
      </c>
      <c r="AF42" s="2">
        <v>1</v>
      </c>
      <c r="AG42" s="2">
        <v>1</v>
      </c>
      <c r="AH42" s="2">
        <v>4</v>
      </c>
      <c r="AI42" s="2" t="str">
        <f>"18002020419"</f>
        <v>18002020419</v>
      </c>
      <c r="AJ42" s="2">
        <v>4</v>
      </c>
      <c r="AK42" s="2">
        <v>19</v>
      </c>
      <c r="AL42" s="2" t="s">
        <v>42</v>
      </c>
      <c r="AM42" s="2" t="s">
        <v>43</v>
      </c>
      <c r="AN42" s="2">
        <v>2</v>
      </c>
      <c r="AO42" s="2">
        <v>9915</v>
      </c>
      <c r="AP42" s="2" t="s">
        <v>242</v>
      </c>
      <c r="AQ42" s="2"/>
      <c r="AR42" s="2" t="s">
        <v>330</v>
      </c>
      <c r="AS42" s="3" t="s">
        <v>331</v>
      </c>
      <c r="AT42" s="2" t="s">
        <v>117</v>
      </c>
      <c r="AU42" s="2" t="s">
        <v>117</v>
      </c>
      <c r="AV42" s="7">
        <v>67.05</v>
      </c>
      <c r="AW42" s="2">
        <v>2</v>
      </c>
      <c r="AX42" s="2"/>
      <c r="AY42" s="2"/>
    </row>
    <row r="43" spans="1:51" ht="18.75" customHeight="1">
      <c r="A43" t="str">
        <f>"1002201811281531274952"</f>
        <v>1002201811281531274952</v>
      </c>
      <c r="B43" s="9">
        <v>41</v>
      </c>
      <c r="C43" s="2" t="s">
        <v>238</v>
      </c>
      <c r="D43" s="2" t="str">
        <f>"季焱峰"</f>
        <v>季焱峰</v>
      </c>
      <c r="E43" s="2" t="str">
        <f>"男"</f>
        <v>男</v>
      </c>
      <c r="F43" s="2" t="str">
        <f>"1990-12-31"</f>
        <v>1990-12-31</v>
      </c>
      <c r="G43" s="2" t="str">
        <f>"320682199012312291"</f>
        <v>320682199012312291</v>
      </c>
      <c r="H43" s="2" t="str">
        <f>"如皋林梓"</f>
        <v>如皋林梓</v>
      </c>
      <c r="I43" s="2" t="str">
        <f t="shared" si="29"/>
        <v>非应届生</v>
      </c>
      <c r="J43" s="2" t="str">
        <f>"助理工程师"</f>
        <v>助理工程师</v>
      </c>
      <c r="K43" s="2" t="str">
        <f>"2013.06"</f>
        <v>2013.06</v>
      </c>
      <c r="L43" s="2" t="str">
        <f>"学士"</f>
        <v>学士</v>
      </c>
      <c r="M43" s="2" t="str">
        <f>"常州大学"</f>
        <v>常州大学</v>
      </c>
      <c r="N43" s="2" t="str">
        <f>"给水排水工程"</f>
        <v>给水排水工程</v>
      </c>
      <c r="O43" s="2" t="str">
        <f t="shared" si="28"/>
        <v>本科</v>
      </c>
      <c r="P43" s="2" t="str">
        <f>"178"</f>
        <v>178</v>
      </c>
      <c r="Q43" s="2" t="str">
        <f>"昆山琨澄排水工程有限公司"</f>
        <v>昆山琨澄排水工程有限公司</v>
      </c>
      <c r="R43" s="2" t="str">
        <f>"2013.07"</f>
        <v>2013.07</v>
      </c>
      <c r="S43" s="2" t="str">
        <f>"昆山杨树路508号"</f>
        <v>昆山杨树路508号</v>
      </c>
      <c r="T43" s="2" t="str">
        <f>"215300"</f>
        <v>215300</v>
      </c>
      <c r="U43" s="2" t="str">
        <f>"17712489150"</f>
        <v>17712489150</v>
      </c>
      <c r="V43" s="2" t="str">
        <f>"15962640023"</f>
        <v>15962640023</v>
      </c>
      <c r="W43" s="2" t="str">
        <f>"无"</f>
        <v>无</v>
      </c>
      <c r="X43" s="2" t="str">
        <f t="shared" si="26"/>
        <v>否</v>
      </c>
      <c r="Y43" s="2" t="str">
        <f>"全国四级"</f>
        <v>全国四级</v>
      </c>
      <c r="Z43" s="2" t="str">
        <f>"全国二级"</f>
        <v>全国二级</v>
      </c>
      <c r="AA43" s="2" t="str">
        <f>"父亲|季永康|个体户|母亲|赵美华|个体户||||||"</f>
        <v>父亲|季永康|个体户|母亲|赵美华|个体户||||||</v>
      </c>
      <c r="AB43" s="2" t="str">
        <f>"2006.09-2009.06 白蒲中学_x000D_
2009.09-2013.06 常州大学_x000D_
2013.07-2018.06 昆山市东部自来水管道安装有限公司_x000D_
2018.07-至今 昆山琨澄排水工程有限公司"</f>
        <v>2006.09-2009.06 白蒲中学_x000D_
2009.09-2013.06 常州大学_x000D_
2013.07-2018.06 昆山市东部自来水管道安装有限公司_x000D_
2018.07-至今 昆山琨澄排水工程有限公司</v>
      </c>
      <c r="AC43" s="2" t="str">
        <f>"无"</f>
        <v>无</v>
      </c>
      <c r="AD43" s="2" t="str">
        <f>"无"</f>
        <v>无</v>
      </c>
      <c r="AE43" s="4">
        <v>43432.721377314818</v>
      </c>
      <c r="AF43" s="2">
        <v>1</v>
      </c>
      <c r="AG43" s="2">
        <v>1</v>
      </c>
      <c r="AH43" s="2">
        <v>2</v>
      </c>
      <c r="AI43" s="2" t="str">
        <f>"18002020414"</f>
        <v>18002020414</v>
      </c>
      <c r="AJ43" s="2">
        <v>4</v>
      </c>
      <c r="AK43" s="2">
        <v>14</v>
      </c>
      <c r="AL43" s="2" t="s">
        <v>42</v>
      </c>
      <c r="AM43" s="2" t="s">
        <v>43</v>
      </c>
      <c r="AN43" s="2">
        <v>2</v>
      </c>
      <c r="AO43" s="2">
        <v>8095</v>
      </c>
      <c r="AP43" s="2" t="s">
        <v>241</v>
      </c>
      <c r="AQ43" s="2"/>
      <c r="AR43" s="2" t="s">
        <v>330</v>
      </c>
      <c r="AS43" s="3" t="s">
        <v>331</v>
      </c>
      <c r="AT43" s="2" t="s">
        <v>117</v>
      </c>
      <c r="AU43" s="2" t="s">
        <v>117</v>
      </c>
      <c r="AV43" s="7">
        <v>66.55</v>
      </c>
      <c r="AW43" s="2">
        <v>3</v>
      </c>
      <c r="AX43" s="2"/>
      <c r="AY43" s="2"/>
    </row>
    <row r="44" spans="1:51" ht="18.75" customHeight="1">
      <c r="A44" t="str">
        <f>"100220181126101914872"</f>
        <v>100220181126101914872</v>
      </c>
      <c r="B44" s="9">
        <v>42</v>
      </c>
      <c r="C44" s="2" t="s">
        <v>238</v>
      </c>
      <c r="D44" s="2" t="str">
        <f>"梁东旭"</f>
        <v>梁东旭</v>
      </c>
      <c r="E44" s="2" t="str">
        <f>"男"</f>
        <v>男</v>
      </c>
      <c r="F44" s="2" t="str">
        <f>"1996-09-29"</f>
        <v>1996-09-29</v>
      </c>
      <c r="G44" s="2" t="str">
        <f>"321324199609290057"</f>
        <v>321324199609290057</v>
      </c>
      <c r="H44" s="2" t="str">
        <f>"江苏省泗洪县"</f>
        <v>江苏省泗洪县</v>
      </c>
      <c r="I44" s="2" t="str">
        <f>"应届生"</f>
        <v>应届生</v>
      </c>
      <c r="J44" s="2" t="str">
        <f>"无"</f>
        <v>无</v>
      </c>
      <c r="K44" s="2" t="str">
        <f>"201908"</f>
        <v>201908</v>
      </c>
      <c r="L44" s="2" t="str">
        <f>"学士"</f>
        <v>学士</v>
      </c>
      <c r="M44" s="2" t="str">
        <f>"同济大学浙江学院"</f>
        <v>同济大学浙江学院</v>
      </c>
      <c r="N44" s="2" t="str">
        <f>"给排水科学与工程"</f>
        <v>给排水科学与工程</v>
      </c>
      <c r="O44" s="2" t="str">
        <f t="shared" si="28"/>
        <v>本科</v>
      </c>
      <c r="P44" s="2" t="str">
        <f>"187"</f>
        <v>187</v>
      </c>
      <c r="Q44" s="2" t="str">
        <f>"无"</f>
        <v>无</v>
      </c>
      <c r="R44" s="2" t="str">
        <f>"无"</f>
        <v>无</v>
      </c>
      <c r="S44" s="2" t="str">
        <f>"浙江嘉兴市南湖区城区同济大学浙江学院一商务大道168号"</f>
        <v>浙江嘉兴市南湖区城区同济大学浙江学院一商务大道168号</v>
      </c>
      <c r="T44" s="2" t="str">
        <f>"314000"</f>
        <v>314000</v>
      </c>
      <c r="U44" s="2" t="str">
        <f>"15996773458"</f>
        <v>15996773458</v>
      </c>
      <c r="V44" s="2" t="str">
        <f>"18868349609"</f>
        <v>18868349609</v>
      </c>
      <c r="W44" s="2" t="str">
        <f>"二级甲等"</f>
        <v>二级甲等</v>
      </c>
      <c r="X44" s="2" t="str">
        <f t="shared" si="26"/>
        <v>否</v>
      </c>
      <c r="Y44" s="2" t="str">
        <f>"英语（CET) 4级"</f>
        <v>英语（CET) 4级</v>
      </c>
      <c r="Z44" s="2" t="str">
        <f>"二级"</f>
        <v>二级</v>
      </c>
      <c r="AA44" s="2" t="str">
        <f>"父亲|梁闯|自由职业|母亲|孙妹宏|江苏卫民药房有限公司||||||"</f>
        <v>父亲|梁闯|自由职业|母亲|孙妹宏|江苏卫民药房有限公司||||||</v>
      </c>
      <c r="AB44" s="2" t="str">
        <f>"2011.9-2013.06 江苏省泗洪中学B 学生_x000D_
2013.09-至今   同济大学浙江学院给排水科学与工程专业 学生_x000D_
"</f>
        <v xml:space="preserve">2011.9-2013.06 江苏省泗洪中学B 学生_x000D_
2013.09-至今   同济大学浙江学院给排水科学与工程专业 学生_x000D_
</v>
      </c>
      <c r="AC44" s="2" t="str">
        <f>"所学专业涵盖：环境工程、暖通工程等相关专业知识"</f>
        <v>所学专业涵盖：环境工程、暖通工程等相关专业知识</v>
      </c>
      <c r="AD44" s="2" t="str">
        <f>""</f>
        <v/>
      </c>
      <c r="AE44" s="4">
        <v>43430.498900462961</v>
      </c>
      <c r="AF44" s="2">
        <v>1</v>
      </c>
      <c r="AG44" s="2">
        <v>1</v>
      </c>
      <c r="AH44" s="2">
        <v>8</v>
      </c>
      <c r="AI44" s="2" t="str">
        <f>"18002020411"</f>
        <v>18002020411</v>
      </c>
      <c r="AJ44" s="2">
        <v>4</v>
      </c>
      <c r="AK44" s="2">
        <v>11</v>
      </c>
      <c r="AL44" s="2" t="s">
        <v>42</v>
      </c>
      <c r="AM44" s="2" t="s">
        <v>43</v>
      </c>
      <c r="AN44" s="2">
        <v>2</v>
      </c>
      <c r="AO44" s="2">
        <v>7063</v>
      </c>
      <c r="AP44" s="2" t="s">
        <v>240</v>
      </c>
      <c r="AQ44" s="2"/>
      <c r="AR44" s="2" t="s">
        <v>330</v>
      </c>
      <c r="AS44" s="3" t="s">
        <v>331</v>
      </c>
      <c r="AT44" s="2" t="s">
        <v>117</v>
      </c>
      <c r="AU44" s="2" t="s">
        <v>117</v>
      </c>
      <c r="AV44" s="7">
        <v>65.45</v>
      </c>
      <c r="AW44" s="2">
        <v>4</v>
      </c>
      <c r="AX44" s="2"/>
      <c r="AY44" s="2"/>
    </row>
    <row r="45" spans="1:51" ht="18.75" customHeight="1">
      <c r="A45" t="str">
        <f>"1002201811271147023556"</f>
        <v>1002201811271147023556</v>
      </c>
      <c r="B45" s="9">
        <v>43</v>
      </c>
      <c r="C45" s="2" t="s">
        <v>238</v>
      </c>
      <c r="D45" s="2" t="str">
        <f>"陆建鹏"</f>
        <v>陆建鹏</v>
      </c>
      <c r="E45" s="2" t="str">
        <f>"男"</f>
        <v>男</v>
      </c>
      <c r="F45" s="2" t="str">
        <f>"1994-11-05"</f>
        <v>1994-11-05</v>
      </c>
      <c r="G45" s="2" t="str">
        <f>"320682199411057814"</f>
        <v>320682199411057814</v>
      </c>
      <c r="H45" s="2" t="str">
        <f>"江苏省如皋市"</f>
        <v>江苏省如皋市</v>
      </c>
      <c r="I45" s="2" t="str">
        <f t="shared" ref="I45:I46" si="31">"非应届生"</f>
        <v>非应届生</v>
      </c>
      <c r="J45" s="2" t="str">
        <f>"助理工程师"</f>
        <v>助理工程师</v>
      </c>
      <c r="K45" s="2" t="str">
        <f>"2017.06"</f>
        <v>2017.06</v>
      </c>
      <c r="L45" s="2" t="str">
        <f>"学士"</f>
        <v>学士</v>
      </c>
      <c r="M45" s="2" t="str">
        <f>"南昌工程学院"</f>
        <v>南昌工程学院</v>
      </c>
      <c r="N45" s="2" t="str">
        <f>"水利水电工程"</f>
        <v>水利水电工程</v>
      </c>
      <c r="O45" s="2" t="str">
        <f t="shared" si="28"/>
        <v>本科</v>
      </c>
      <c r="P45" s="2" t="str">
        <f>"175"</f>
        <v>175</v>
      </c>
      <c r="Q45" s="2" t="str">
        <f>"上海祥阳水利勘测设计有限公司"</f>
        <v>上海祥阳水利勘测设计有限公司</v>
      </c>
      <c r="R45" s="2" t="str">
        <f>"2017.07"</f>
        <v>2017.07</v>
      </c>
      <c r="S45" s="2" t="str">
        <f>"上海市崇明区城桥镇新崇北路1号"</f>
        <v>上海市崇明区城桥镇新崇北路1号</v>
      </c>
      <c r="T45" s="2" t="str">
        <f>"202150"</f>
        <v>202150</v>
      </c>
      <c r="U45" s="2" t="str">
        <f>"无"</f>
        <v>无</v>
      </c>
      <c r="V45" s="2" t="str">
        <f>"15312910382"</f>
        <v>15312910382</v>
      </c>
      <c r="W45" s="2" t="str">
        <f>"无"</f>
        <v>无</v>
      </c>
      <c r="X45" s="2" t="str">
        <f t="shared" si="26"/>
        <v>否</v>
      </c>
      <c r="Y45" s="2" t="str">
        <f>"四级"</f>
        <v>四级</v>
      </c>
      <c r="Z45" s="2" t="str">
        <f>"无"</f>
        <v>无</v>
      </c>
      <c r="AA45" s="2" t="str">
        <f>"父子|陆国兵|如皋市鹏艺电脑绣品厂|母子|郭小丽|如皋市鹏艺电脑绣品厂||||||"</f>
        <v>父子|陆国兵|如皋市鹏艺电脑绣品厂|母子|郭小丽|如皋市鹏艺电脑绣品厂||||||</v>
      </c>
      <c r="AB45" s="2" t="str">
        <f>"2010.09-2013.06	江苏省南通中学 学生_x000D_
2013.09-2017.06	南昌工程学院水利水电工程专业 学生_x000D_
2017.07至今 上海祥阳水利勘测设计有限公司 职员_x000D_
"</f>
        <v xml:space="preserve">2010.09-2013.06	江苏省南通中学 学生_x000D_
2013.09-2017.06	南昌工程学院水利水电工程专业 学生_x000D_
2017.07至今 上海祥阳水利勘测设计有限公司 职员_x000D_
</v>
      </c>
      <c r="AC45" s="2" t="str">
        <f>"无"</f>
        <v>无</v>
      </c>
      <c r="AD45" s="2" t="str">
        <f>"无"</f>
        <v>无</v>
      </c>
      <c r="AE45" s="4">
        <v>43431.598136574074</v>
      </c>
      <c r="AF45" s="2">
        <v>1</v>
      </c>
      <c r="AG45" s="2">
        <v>1</v>
      </c>
      <c r="AH45" s="2">
        <v>2</v>
      </c>
      <c r="AI45" s="2" t="str">
        <f>"18002020326"</f>
        <v>18002020326</v>
      </c>
      <c r="AJ45" s="2">
        <v>3</v>
      </c>
      <c r="AK45" s="2">
        <v>26</v>
      </c>
      <c r="AL45" s="2" t="s">
        <v>42</v>
      </c>
      <c r="AM45" s="2" t="s">
        <v>43</v>
      </c>
      <c r="AN45" s="2">
        <v>2</v>
      </c>
      <c r="AO45" s="2">
        <v>1714</v>
      </c>
      <c r="AP45" s="2" t="s">
        <v>239</v>
      </c>
      <c r="AQ45" s="2"/>
      <c r="AR45" s="2" t="s">
        <v>330</v>
      </c>
      <c r="AS45" s="3" t="s">
        <v>331</v>
      </c>
      <c r="AT45" s="2" t="s">
        <v>117</v>
      </c>
      <c r="AU45" s="2" t="s">
        <v>117</v>
      </c>
      <c r="AV45" s="7">
        <v>63.8</v>
      </c>
      <c r="AW45" s="2">
        <v>5</v>
      </c>
      <c r="AX45" s="2"/>
      <c r="AY45" s="2"/>
    </row>
    <row r="46" spans="1:51" ht="18.75" customHeight="1">
      <c r="A46" t="str">
        <f>"1002201811271642333945"</f>
        <v>1002201811271642333945</v>
      </c>
      <c r="B46" s="9">
        <v>44</v>
      </c>
      <c r="C46" s="2" t="s">
        <v>238</v>
      </c>
      <c r="D46" s="2" t="str">
        <f>"刘静静"</f>
        <v>刘静静</v>
      </c>
      <c r="E46" s="2" t="str">
        <f>"女"</f>
        <v>女</v>
      </c>
      <c r="F46" s="2" t="str">
        <f>"1990-06-05"</f>
        <v>1990-06-05</v>
      </c>
      <c r="G46" s="2" t="str">
        <f>"320682199006050483"</f>
        <v>320682199006050483</v>
      </c>
      <c r="H46" s="2" t="str">
        <f>"江苏省南通市如皋市新民村15组35号"</f>
        <v>江苏省南通市如皋市新民村15组35号</v>
      </c>
      <c r="I46" s="2" t="str">
        <f t="shared" si="31"/>
        <v>非应届生</v>
      </c>
      <c r="J46" s="2" t="str">
        <f>"无"</f>
        <v>无</v>
      </c>
      <c r="K46" s="2" t="str">
        <f>"2016.6"</f>
        <v>2016.6</v>
      </c>
      <c r="L46" s="2" t="str">
        <f>"研究生"</f>
        <v>研究生</v>
      </c>
      <c r="M46" s="2" t="str">
        <f>"常州大学"</f>
        <v>常州大学</v>
      </c>
      <c r="N46" s="2" t="str">
        <f>"给水排水工程"</f>
        <v>给水排水工程</v>
      </c>
      <c r="O46" s="2" t="str">
        <f>"硕士"</f>
        <v>硕士</v>
      </c>
      <c r="P46" s="2" t="str">
        <f>"160"</f>
        <v>160</v>
      </c>
      <c r="Q46" s="2" t="str">
        <f>"如东县市政工程与燃气管理处"</f>
        <v>如东县市政工程与燃气管理处</v>
      </c>
      <c r="R46" s="2" t="str">
        <f>"2016.2"</f>
        <v>2016.2</v>
      </c>
      <c r="S46" s="2" t="str">
        <f>"如东县掘港镇阳光家园3号楼403"</f>
        <v>如东县掘港镇阳光家园3号楼403</v>
      </c>
      <c r="T46" s="2" t="str">
        <f>"226400"</f>
        <v>226400</v>
      </c>
      <c r="U46" s="2" t="str">
        <f>"0513-81908866"</f>
        <v>0513-81908866</v>
      </c>
      <c r="V46" s="2" t="str">
        <f>"15851319109"</f>
        <v>15851319109</v>
      </c>
      <c r="W46" s="2" t="str">
        <f>"无"</f>
        <v>无</v>
      </c>
      <c r="X46" s="2" t="str">
        <f t="shared" si="26"/>
        <v>否</v>
      </c>
      <c r="Y46" s="2" t="str">
        <f>"四级"</f>
        <v>四级</v>
      </c>
      <c r="Z46" s="2" t="str">
        <f>"二级"</f>
        <v>二级</v>
      </c>
      <c r="AA46" s="2" t="str">
        <f>"父亲|刘坤华|农民|母亲|魏月美|农民||||||"</f>
        <v>父亲|刘坤华|农民|母亲|魏月美|农民||||||</v>
      </c>
      <c r="AB46" s="2" t="str">
        <f>"2005.9-2008.6 如皋市第一中学 学生_x000D_
2008.9-2012.6 常州大学给水排水工程 学生_x000D_
2013.9-2016.6 常州大学环境工程     学生_x000D_
-至今 如东县市政工程与燃气管理处   办事员"</f>
        <v>2005.9-2008.6 如皋市第一中学 学生_x000D_
2008.9-2012.6 常州大学给水排水工程 学生_x000D_
2013.9-2016.6 常州大学环境工程     学生_x000D_
-至今 如东县市政工程与燃气管理处   办事员</v>
      </c>
      <c r="AC46" s="2" t="str">
        <f>"无"</f>
        <v>无</v>
      </c>
      <c r="AD46" s="2" t="str">
        <f>""</f>
        <v/>
      </c>
      <c r="AE46" s="4">
        <v>43433.382233796299</v>
      </c>
      <c r="AF46" s="2">
        <v>1</v>
      </c>
      <c r="AG46" s="2">
        <v>1</v>
      </c>
      <c r="AH46" s="2">
        <v>4</v>
      </c>
      <c r="AI46" s="2" t="str">
        <f>"18002020410"</f>
        <v>18002020410</v>
      </c>
      <c r="AJ46" s="2">
        <v>4</v>
      </c>
      <c r="AK46" s="2">
        <v>10</v>
      </c>
      <c r="AL46" s="2" t="s">
        <v>42</v>
      </c>
      <c r="AM46" s="2" t="s">
        <v>43</v>
      </c>
      <c r="AN46" s="2">
        <v>2</v>
      </c>
      <c r="AO46" s="2">
        <v>6622</v>
      </c>
      <c r="AP46" s="2" t="s">
        <v>222</v>
      </c>
      <c r="AQ46" s="2"/>
      <c r="AR46" s="2" t="s">
        <v>330</v>
      </c>
      <c r="AS46" s="3" t="s">
        <v>331</v>
      </c>
      <c r="AT46" s="2" t="s">
        <v>117</v>
      </c>
      <c r="AU46" s="2" t="s">
        <v>117</v>
      </c>
      <c r="AV46" s="7">
        <v>63.8</v>
      </c>
      <c r="AW46" s="2">
        <v>5</v>
      </c>
      <c r="AX46" s="2"/>
      <c r="AY46" s="2"/>
    </row>
    <row r="47" spans="1:51" ht="18.75" customHeight="1">
      <c r="A47" t="str">
        <f>"1002201811261051071089"</f>
        <v>1002201811261051071089</v>
      </c>
      <c r="B47" s="9">
        <v>45</v>
      </c>
      <c r="C47" s="2" t="s">
        <v>243</v>
      </c>
      <c r="D47" s="2" t="str">
        <f>"张文雪"</f>
        <v>张文雪</v>
      </c>
      <c r="E47" s="2" t="str">
        <f>"女"</f>
        <v>女</v>
      </c>
      <c r="F47" s="2" t="str">
        <f>"1995-09-22"</f>
        <v>1995-09-22</v>
      </c>
      <c r="G47" s="2" t="str">
        <f>"370784199509223822"</f>
        <v>370784199509223822</v>
      </c>
      <c r="H47" s="2" t="str">
        <f>"山东省潍坊市安丘市"</f>
        <v>山东省潍坊市安丘市</v>
      </c>
      <c r="I47" s="2" t="str">
        <f>"应届生"</f>
        <v>应届生</v>
      </c>
      <c r="J47" s="2" t="str">
        <f>"无"</f>
        <v>无</v>
      </c>
      <c r="K47" s="2" t="str">
        <f>"2018.06.21"</f>
        <v>2018.06.21</v>
      </c>
      <c r="L47" s="2" t="str">
        <f t="shared" ref="L47:L49" si="32">"学士"</f>
        <v>学士</v>
      </c>
      <c r="M47" s="2" t="str">
        <f>"南京农业大学"</f>
        <v>南京农业大学</v>
      </c>
      <c r="N47" s="2" t="str">
        <f>"食品质量与安全"</f>
        <v>食品质量与安全</v>
      </c>
      <c r="O47" s="2" t="str">
        <f t="shared" ref="O47:O49" si="33">"本科"</f>
        <v>本科</v>
      </c>
      <c r="P47" s="2" t="str">
        <f>"168"</f>
        <v>168</v>
      </c>
      <c r="Q47" s="2" t="str">
        <f>"无"</f>
        <v>无</v>
      </c>
      <c r="R47" s="2" t="str">
        <f>"无"</f>
        <v>无</v>
      </c>
      <c r="S47" s="2" t="str">
        <f>"山东省潍坊市安丘市赵戈镇"</f>
        <v>山东省潍坊市安丘市赵戈镇</v>
      </c>
      <c r="T47" s="2" t="str">
        <f>"262115"</f>
        <v>262115</v>
      </c>
      <c r="U47" s="2" t="str">
        <f>"17564002563"</f>
        <v>17564002563</v>
      </c>
      <c r="V47" s="2" t="str">
        <f>"17564002563"</f>
        <v>17564002563</v>
      </c>
      <c r="W47" s="2" t="str">
        <f>"二级甲等"</f>
        <v>二级甲等</v>
      </c>
      <c r="X47" s="2" t="str">
        <f t="shared" si="26"/>
        <v>否</v>
      </c>
      <c r="Y47" s="2" t="str">
        <f>"全国英语六级"</f>
        <v>全国英语六级</v>
      </c>
      <c r="Z47" s="2" t="str">
        <f>"全国计算机二级"</f>
        <v>全国计算机二级</v>
      </c>
      <c r="AA47" s="2" t="str">
        <f>"父亲|张志钦|无|母亲|王爱兰|无||||||"</f>
        <v>父亲|张志钦|无|母亲|王爱兰|无||||||</v>
      </c>
      <c r="AB47" s="2" t="str">
        <f>"2011.09-2014.06 山东省昌乐中学 学生_x000D_
2014.09-2018.06 南京农业大学食品科技学院食品质量与安全专业 学生"</f>
        <v>2011.09-2014.06 山东省昌乐中学 学生_x000D_
2014.09-2018.06 南京农业大学食品科技学院食品质量与安全专业 学生</v>
      </c>
      <c r="AC47" s="2" t="str">
        <f t="shared" ref="AC47:AC59" si="34">"无"</f>
        <v>无</v>
      </c>
      <c r="AD47" s="2" t="str">
        <f>""</f>
        <v/>
      </c>
      <c r="AE47" s="4">
        <v>43430.860844907409</v>
      </c>
      <c r="AF47" s="2">
        <v>1</v>
      </c>
      <c r="AG47" s="2">
        <v>1</v>
      </c>
      <c r="AH47" s="2">
        <v>2</v>
      </c>
      <c r="AI47" s="2" t="str">
        <f>"18002020805"</f>
        <v>18002020805</v>
      </c>
      <c r="AJ47" s="2">
        <v>8</v>
      </c>
      <c r="AK47" s="2">
        <v>5</v>
      </c>
      <c r="AL47" s="2" t="s">
        <v>42</v>
      </c>
      <c r="AM47" s="2" t="s">
        <v>43</v>
      </c>
      <c r="AN47" s="2">
        <v>2</v>
      </c>
      <c r="AO47" s="2">
        <v>8560</v>
      </c>
      <c r="AP47" s="2" t="s">
        <v>246</v>
      </c>
      <c r="AQ47" s="2"/>
      <c r="AR47" s="2" t="s">
        <v>330</v>
      </c>
      <c r="AS47" s="3" t="s">
        <v>331</v>
      </c>
      <c r="AT47" s="2" t="s">
        <v>117</v>
      </c>
      <c r="AU47" s="2" t="s">
        <v>117</v>
      </c>
      <c r="AV47" s="7">
        <v>74.55</v>
      </c>
      <c r="AW47" s="2">
        <v>1</v>
      </c>
      <c r="AX47" s="2"/>
      <c r="AY47" s="2"/>
    </row>
    <row r="48" spans="1:51" ht="18.75" customHeight="1">
      <c r="A48" t="str">
        <f>"1002201811281043194656"</f>
        <v>1002201811281043194656</v>
      </c>
      <c r="B48" s="9">
        <v>46</v>
      </c>
      <c r="C48" s="2" t="s">
        <v>243</v>
      </c>
      <c r="D48" s="2" t="str">
        <f>"鲍亚东"</f>
        <v>鲍亚东</v>
      </c>
      <c r="E48" s="2" t="str">
        <f>"男"</f>
        <v>男</v>
      </c>
      <c r="F48" s="2" t="str">
        <f>"1996-01-02"</f>
        <v>1996-01-02</v>
      </c>
      <c r="G48" s="2" t="str">
        <f>"320682199601021134"</f>
        <v>320682199601021134</v>
      </c>
      <c r="H48" s="2" t="str">
        <f>"江苏如皋"</f>
        <v>江苏如皋</v>
      </c>
      <c r="I48" s="2" t="str">
        <f t="shared" ref="I48:I55" si="35">"非应届生"</f>
        <v>非应届生</v>
      </c>
      <c r="J48" s="2" t="str">
        <f>"分析工三级"</f>
        <v>分析工三级</v>
      </c>
      <c r="K48" s="2" t="str">
        <f>"2018,06"</f>
        <v>2018,06</v>
      </c>
      <c r="L48" s="2" t="str">
        <f t="shared" si="32"/>
        <v>学士</v>
      </c>
      <c r="M48" s="2" t="str">
        <f>"常州大学"</f>
        <v>常州大学</v>
      </c>
      <c r="N48" s="2" t="str">
        <f>"食品质量与安全"</f>
        <v>食品质量与安全</v>
      </c>
      <c r="O48" s="2" t="str">
        <f t="shared" si="33"/>
        <v>本科</v>
      </c>
      <c r="P48" s="2" t="str">
        <f>"175"</f>
        <v>175</v>
      </c>
      <c r="Q48" s="2" t="str">
        <f>"无"</f>
        <v>无</v>
      </c>
      <c r="R48" s="2" t="str">
        <f>"2018,07"</f>
        <v>2018,07</v>
      </c>
      <c r="S48" s="2" t="str">
        <f>"江苏省如皋市东陈镇南东陈村19组21号"</f>
        <v>江苏省如皋市东陈镇南东陈村19组21号</v>
      </c>
      <c r="T48" s="2" t="str">
        <f>"226571"</f>
        <v>226571</v>
      </c>
      <c r="U48" s="2" t="str">
        <f>"无"</f>
        <v>无</v>
      </c>
      <c r="V48" s="2" t="str">
        <f>"15051963520"</f>
        <v>15051963520</v>
      </c>
      <c r="W48" s="2" t="str">
        <f>"无"</f>
        <v>无</v>
      </c>
      <c r="X48" s="2" t="str">
        <f t="shared" si="26"/>
        <v>否</v>
      </c>
      <c r="Y48" s="2" t="str">
        <f>"英语CET4级"</f>
        <v>英语CET4级</v>
      </c>
      <c r="Z48" s="2" t="str">
        <f>"VB二级"</f>
        <v>VB二级</v>
      </c>
      <c r="AA48" s="2" t="str">
        <f>"父亲|鲍国平|南通康升金属材料有限公司|母亲|丁建芳|时代超市环东大桥店||||||"</f>
        <v>父亲|鲍国平|南通康升金属材料有限公司|母亲|丁建芳|时代超市环东大桥店||||||</v>
      </c>
      <c r="AB48" s="2" t="str">
        <f>"2014.09-2018.06 常州大学       学生_x000D_
2018.07-2108.11 溧阳中材环保有限公司  职员"</f>
        <v>2014.09-2018.06 常州大学       学生_x000D_
2018.07-2108.11 溧阳中材环保有限公司  职员</v>
      </c>
      <c r="AC48" s="2" t="str">
        <f t="shared" si="34"/>
        <v>无</v>
      </c>
      <c r="AD48" s="2" t="str">
        <f>"无"</f>
        <v>无</v>
      </c>
      <c r="AE48" s="4">
        <v>43432.473703703705</v>
      </c>
      <c r="AF48" s="2">
        <v>1</v>
      </c>
      <c r="AG48" s="2">
        <v>1</v>
      </c>
      <c r="AH48" s="2">
        <v>1</v>
      </c>
      <c r="AI48" s="2" t="str">
        <f>"18002020616"</f>
        <v>18002020616</v>
      </c>
      <c r="AJ48" s="2">
        <v>6</v>
      </c>
      <c r="AK48" s="2">
        <v>16</v>
      </c>
      <c r="AL48" s="2" t="s">
        <v>42</v>
      </c>
      <c r="AM48" s="2" t="s">
        <v>43</v>
      </c>
      <c r="AN48" s="2">
        <v>2</v>
      </c>
      <c r="AO48" s="2">
        <v>3989</v>
      </c>
      <c r="AP48" s="2" t="s">
        <v>245</v>
      </c>
      <c r="AQ48" s="2"/>
      <c r="AR48" s="2" t="s">
        <v>330</v>
      </c>
      <c r="AS48" s="3" t="s">
        <v>331</v>
      </c>
      <c r="AT48" s="2" t="s">
        <v>117</v>
      </c>
      <c r="AU48" s="2" t="s">
        <v>117</v>
      </c>
      <c r="AV48" s="7">
        <v>74.3</v>
      </c>
      <c r="AW48" s="2">
        <v>2</v>
      </c>
      <c r="AX48" s="2"/>
      <c r="AY48" s="2"/>
    </row>
    <row r="49" spans="1:51" ht="18.75" customHeight="1">
      <c r="A49" t="str">
        <f>"1002201811261922222621"</f>
        <v>1002201811261922222621</v>
      </c>
      <c r="B49" s="9">
        <v>47</v>
      </c>
      <c r="C49" s="2" t="s">
        <v>243</v>
      </c>
      <c r="D49" s="2" t="str">
        <f>"裴亚丽"</f>
        <v>裴亚丽</v>
      </c>
      <c r="E49" s="2" t="str">
        <f>"女"</f>
        <v>女</v>
      </c>
      <c r="F49" s="2" t="str">
        <f>"1992-03-08"</f>
        <v>1992-03-08</v>
      </c>
      <c r="G49" s="2" t="str">
        <f>"320682199203087146"</f>
        <v>320682199203087146</v>
      </c>
      <c r="H49" s="2" t="str">
        <f>"如皋市磨头镇"</f>
        <v>如皋市磨头镇</v>
      </c>
      <c r="I49" s="2" t="str">
        <f t="shared" si="35"/>
        <v>非应届生</v>
      </c>
      <c r="J49" s="2" t="str">
        <f>"无"</f>
        <v>无</v>
      </c>
      <c r="K49" s="2" t="str">
        <f>"2014.06"</f>
        <v>2014.06</v>
      </c>
      <c r="L49" s="2" t="str">
        <f t="shared" si="32"/>
        <v>学士</v>
      </c>
      <c r="M49" s="2" t="str">
        <f>"南京财经大学"</f>
        <v>南京财经大学</v>
      </c>
      <c r="N49" s="2" t="str">
        <f>"食品质量与安全"</f>
        <v>食品质量与安全</v>
      </c>
      <c r="O49" s="2" t="str">
        <f t="shared" si="33"/>
        <v>本科</v>
      </c>
      <c r="P49" s="2" t="str">
        <f>"156"</f>
        <v>156</v>
      </c>
      <c r="Q49" s="2" t="str">
        <f>"南通白蒲黄酒有限公司"</f>
        <v>南通白蒲黄酒有限公司</v>
      </c>
      <c r="R49" s="2" t="str">
        <f>"2014.07"</f>
        <v>2014.07</v>
      </c>
      <c r="S49" s="2" t="str">
        <f>"如皋市磨头镇兴韩村十组23号"</f>
        <v>如皋市磨头镇兴韩村十组23号</v>
      </c>
      <c r="T49" s="2" t="str">
        <f>"226556"</f>
        <v>226556</v>
      </c>
      <c r="U49" s="2" t="str">
        <f>"无"</f>
        <v>无</v>
      </c>
      <c r="V49" s="2" t="str">
        <f>"13584695383"</f>
        <v>13584695383</v>
      </c>
      <c r="W49" s="2" t="str">
        <f>"无"</f>
        <v>无</v>
      </c>
      <c r="X49" s="2" t="str">
        <f t="shared" si="26"/>
        <v>否</v>
      </c>
      <c r="Y49" s="2" t="str">
        <f>"六级"</f>
        <v>六级</v>
      </c>
      <c r="Z49" s="2" t="str">
        <f>"二级"</f>
        <v>二级</v>
      </c>
      <c r="AA49" s="2" t="str">
        <f>"父女|裴俊全|务农|母女|张建兰|务农||||||"</f>
        <v>父女|裴俊全|务农|母女|张建兰|务农||||||</v>
      </c>
      <c r="AB49" s="2" t="str">
        <f>"2007.09--2010.06 如皋市石庄中学 学生_x000D_
2010.09--2014.06 南京财经大学食品科学与工程学院食品质量与安全专业 学生_x000D_
2014.07--2018.02 百威英博大富豪（江苏）啤酒有限公司 职员_x000D_
2018.04至今 南通白蒲黄酒有限公司  职员"</f>
        <v>2007.09--2010.06 如皋市石庄中学 学生_x000D_
2010.09--2014.06 南京财经大学食品科学与工程学院食品质量与安全专业 学生_x000D_
2014.07--2018.02 百威英博大富豪（江苏）啤酒有限公司 职员_x000D_
2018.04至今 南通白蒲黄酒有限公司  职员</v>
      </c>
      <c r="AC49" s="2" t="str">
        <f t="shared" si="34"/>
        <v>无</v>
      </c>
      <c r="AD49" s="2" t="str">
        <f>""</f>
        <v/>
      </c>
      <c r="AE49" s="4">
        <v>43430.84233796296</v>
      </c>
      <c r="AF49" s="2">
        <v>1</v>
      </c>
      <c r="AG49" s="2">
        <v>1</v>
      </c>
      <c r="AH49" s="2">
        <v>10</v>
      </c>
      <c r="AI49" s="2" t="str">
        <f>"18002020816"</f>
        <v>18002020816</v>
      </c>
      <c r="AJ49" s="2">
        <v>8</v>
      </c>
      <c r="AK49" s="2">
        <v>16</v>
      </c>
      <c r="AL49" s="2" t="s">
        <v>42</v>
      </c>
      <c r="AM49" s="2" t="s">
        <v>43</v>
      </c>
      <c r="AN49" s="2">
        <v>2</v>
      </c>
      <c r="AO49" s="2">
        <v>9004</v>
      </c>
      <c r="AP49" s="2" t="s">
        <v>247</v>
      </c>
      <c r="AQ49" s="2"/>
      <c r="AR49" s="2" t="s">
        <v>330</v>
      </c>
      <c r="AS49" s="3" t="s">
        <v>331</v>
      </c>
      <c r="AT49" s="2" t="s">
        <v>117</v>
      </c>
      <c r="AU49" s="2" t="s">
        <v>117</v>
      </c>
      <c r="AV49" s="7">
        <v>72.7</v>
      </c>
      <c r="AW49" s="2">
        <v>3</v>
      </c>
      <c r="AX49" s="2"/>
      <c r="AY49" s="2"/>
    </row>
    <row r="50" spans="1:51" ht="18.75" customHeight="1">
      <c r="A50" t="str">
        <f>"1002201811261221201496"</f>
        <v>1002201811261221201496</v>
      </c>
      <c r="B50" s="9">
        <v>48</v>
      </c>
      <c r="C50" s="2" t="s">
        <v>248</v>
      </c>
      <c r="D50" s="2" t="str">
        <f>"王月民"</f>
        <v>王月民</v>
      </c>
      <c r="E50" s="2" t="str">
        <f>"男"</f>
        <v>男</v>
      </c>
      <c r="F50" s="2" t="str">
        <f>"1984-09-07"</f>
        <v>1984-09-07</v>
      </c>
      <c r="G50" s="2" t="str">
        <f>"371323198409076310"</f>
        <v>371323198409076310</v>
      </c>
      <c r="H50" s="2" t="str">
        <f>"江苏省苏州市常熟市"</f>
        <v>江苏省苏州市常熟市</v>
      </c>
      <c r="I50" s="2" t="str">
        <f t="shared" si="35"/>
        <v>非应届生</v>
      </c>
      <c r="J50" s="2" t="str">
        <f>"无"</f>
        <v>无</v>
      </c>
      <c r="K50" s="2" t="str">
        <f>"2012.06"</f>
        <v>2012.06</v>
      </c>
      <c r="L50" s="2" t="str">
        <f>"研究生"</f>
        <v>研究生</v>
      </c>
      <c r="M50" s="2" t="str">
        <f>"江苏大学"</f>
        <v>江苏大学</v>
      </c>
      <c r="N50" s="2" t="str">
        <f>"材料学"</f>
        <v>材料学</v>
      </c>
      <c r="O50" s="2" t="str">
        <f>"硕士"</f>
        <v>硕士</v>
      </c>
      <c r="P50" s="2" t="str">
        <f>"171"</f>
        <v>171</v>
      </c>
      <c r="Q50" s="2" t="str">
        <f>"上海耀皮玻璃集团股份有限公司"</f>
        <v>上海耀皮玻璃集团股份有限公司</v>
      </c>
      <c r="R50" s="2" t="str">
        <f>"2012.07"</f>
        <v>2012.07</v>
      </c>
      <c r="S50" s="2" t="str">
        <f>"江苏省苏州市常熟市琴川街道九鑫园小区2-204"</f>
        <v>江苏省苏州市常熟市琴川街道九鑫园小区2-204</v>
      </c>
      <c r="T50" s="2" t="str">
        <f>"215500"</f>
        <v>215500</v>
      </c>
      <c r="U50" s="2" t="str">
        <f>"051252294381"</f>
        <v>051252294381</v>
      </c>
      <c r="V50" s="2" t="str">
        <f>"15252900259"</f>
        <v>15252900259</v>
      </c>
      <c r="W50" s="2" t="str">
        <f>"二级乙等"</f>
        <v>二级乙等</v>
      </c>
      <c r="X50" s="2" t="str">
        <f t="shared" si="26"/>
        <v>否</v>
      </c>
      <c r="Y50" s="2" t="str">
        <f>"CET-4"</f>
        <v>CET-4</v>
      </c>
      <c r="Z50" s="2" t="str">
        <f>"国家C语言二级"</f>
        <v>国家C语言二级</v>
      </c>
      <c r="AA50" s="2" t="str">
        <f>"妻子|周星星|江苏常熟农村商业银行股份有限公司|女儿|王周雨|崇文幼儿园||||||"</f>
        <v>妻子|周星星|江苏常熟农村商业银行股份有限公司|女儿|王周雨|崇文幼儿园||||||</v>
      </c>
      <c r="AB50" s="2" t="str">
        <f>"2001.09-2005.06 沂水县第三中学 学生_x000D_
2005.09-2009.06 山东理工大学 材料科学与工程专业 本科_x000D_
2009.09-2012.06 江苏大学 材料学 硕士研究生_x000D_
2012.07至今 上海耀皮玻璃集团股份有限公司 技术员"</f>
        <v>2001.09-2005.06 沂水县第三中学 学生_x000D_
2005.09-2009.06 山东理工大学 材料科学与工程专业 本科_x000D_
2009.09-2012.06 江苏大学 材料学 硕士研究生_x000D_
2012.07至今 上海耀皮玻璃集团股份有限公司 技术员</v>
      </c>
      <c r="AC50" s="2" t="str">
        <f t="shared" si="34"/>
        <v>无</v>
      </c>
      <c r="AD50" s="2" t="str">
        <f>""</f>
        <v/>
      </c>
      <c r="AE50" s="4">
        <v>43430.91951388889</v>
      </c>
      <c r="AF50" s="2">
        <v>1</v>
      </c>
      <c r="AG50" s="2">
        <v>1</v>
      </c>
      <c r="AH50" s="2">
        <v>2</v>
      </c>
      <c r="AI50" s="2" t="str">
        <f>"18002020904"</f>
        <v>18002020904</v>
      </c>
      <c r="AJ50" s="2">
        <v>9</v>
      </c>
      <c r="AK50" s="2">
        <v>4</v>
      </c>
      <c r="AL50" s="2" t="s">
        <v>42</v>
      </c>
      <c r="AM50" s="2" t="s">
        <v>43</v>
      </c>
      <c r="AN50" s="2">
        <v>2</v>
      </c>
      <c r="AO50" s="2">
        <v>182</v>
      </c>
      <c r="AP50" s="2" t="s">
        <v>249</v>
      </c>
      <c r="AQ50" s="2"/>
      <c r="AR50" s="2" t="s">
        <v>330</v>
      </c>
      <c r="AS50" s="3" t="s">
        <v>331</v>
      </c>
      <c r="AT50" s="2" t="s">
        <v>117</v>
      </c>
      <c r="AU50" s="2" t="s">
        <v>117</v>
      </c>
      <c r="AV50" s="7">
        <v>73.75</v>
      </c>
      <c r="AW50" s="2">
        <v>1</v>
      </c>
      <c r="AX50" s="2"/>
      <c r="AY50" s="2"/>
    </row>
    <row r="51" spans="1:51" ht="18.75" customHeight="1">
      <c r="A51" t="str">
        <f>"1002201811272057194281"</f>
        <v>1002201811272057194281</v>
      </c>
      <c r="B51" s="9">
        <v>49</v>
      </c>
      <c r="C51" s="2" t="s">
        <v>248</v>
      </c>
      <c r="D51" s="2" t="str">
        <f>"申洁"</f>
        <v>申洁</v>
      </c>
      <c r="E51" s="2" t="str">
        <f>"女"</f>
        <v>女</v>
      </c>
      <c r="F51" s="2" t="str">
        <f>"1995-02-21"</f>
        <v>1995-02-21</v>
      </c>
      <c r="G51" s="2" t="str">
        <f>"320925199502215127"</f>
        <v>320925199502215127</v>
      </c>
      <c r="H51" s="2" t="str">
        <f>"江苏建湖"</f>
        <v>江苏建湖</v>
      </c>
      <c r="I51" s="2" t="str">
        <f t="shared" si="35"/>
        <v>非应届生</v>
      </c>
      <c r="J51" s="2" t="str">
        <f>"无"</f>
        <v>无</v>
      </c>
      <c r="K51" s="2" t="str">
        <f>"2016.06"</f>
        <v>2016.06</v>
      </c>
      <c r="L51" s="2" t="str">
        <f>"学士"</f>
        <v>学士</v>
      </c>
      <c r="M51" s="2" t="str">
        <f>"常州大学"</f>
        <v>常州大学</v>
      </c>
      <c r="N51" s="2" t="str">
        <f>"高分子材料与工程"</f>
        <v>高分子材料与工程</v>
      </c>
      <c r="O51" s="2" t="str">
        <f>"本科"</f>
        <v>本科</v>
      </c>
      <c r="P51" s="2" t="str">
        <f>"158"</f>
        <v>158</v>
      </c>
      <c r="Q51" s="2" t="str">
        <f>"盐城神华机械制造有限公司"</f>
        <v>盐城神华机械制造有限公司</v>
      </c>
      <c r="R51" s="2" t="str">
        <f>"2016.09"</f>
        <v>2016.09</v>
      </c>
      <c r="S51" s="2" t="str">
        <f>"江苏省建湖县翠谷玉苑二期六号楼303"</f>
        <v>江苏省建湖县翠谷玉苑二期六号楼303</v>
      </c>
      <c r="T51" s="2" t="str">
        <f>"224700"</f>
        <v>224700</v>
      </c>
      <c r="U51" s="2" t="str">
        <f>"13092169078"</f>
        <v>13092169078</v>
      </c>
      <c r="V51" s="2" t="str">
        <f>"15151060032"</f>
        <v>15151060032</v>
      </c>
      <c r="W51" s="2" t="str">
        <f>"二甲"</f>
        <v>二甲</v>
      </c>
      <c r="X51" s="2" t="str">
        <f t="shared" si="26"/>
        <v>否</v>
      </c>
      <c r="Y51" s="2" t="str">
        <f>"英语六级"</f>
        <v>英语六级</v>
      </c>
      <c r="Z51" s="2" t="str">
        <f>"无"</f>
        <v>无</v>
      </c>
      <c r="AA51" s="2" t="str">
        <f>"父亲|申如祥|盐城神华机械制造有限公司|母亲|孙静|冈东小学||||||"</f>
        <v>父亲|申如祥|盐城神华机械制造有限公司|母亲|孙静|冈东小学||||||</v>
      </c>
      <c r="AB51" s="2" t="str">
        <f>"2009.09-2012.06 江苏省上冈高级中学 学生_x000D_
2012.09-2016.06 常州大学 学生_x000D_
2016.09-2017.06 江苏剑牌农化股份有限公司 职员_x000D_
2017.07至今 盐城神华机械制造有限公司"</f>
        <v>2009.09-2012.06 江苏省上冈高级中学 学生_x000D_
2012.09-2016.06 常州大学 学生_x000D_
2016.09-2017.06 江苏剑牌农化股份有限公司 职员_x000D_
2017.07至今 盐城神华机械制造有限公司</v>
      </c>
      <c r="AC51" s="2" t="str">
        <f t="shared" si="34"/>
        <v>无</v>
      </c>
      <c r="AD51" s="2" t="str">
        <f>""</f>
        <v/>
      </c>
      <c r="AE51" s="4">
        <v>43432.378865740742</v>
      </c>
      <c r="AF51" s="2">
        <v>1</v>
      </c>
      <c r="AG51" s="2">
        <v>1</v>
      </c>
      <c r="AH51" s="2">
        <v>5</v>
      </c>
      <c r="AI51" s="2" t="str">
        <f>"18002021115"</f>
        <v>18002021115</v>
      </c>
      <c r="AJ51" s="2">
        <v>11</v>
      </c>
      <c r="AK51" s="2">
        <v>15</v>
      </c>
      <c r="AL51" s="2" t="s">
        <v>42</v>
      </c>
      <c r="AM51" s="2" t="s">
        <v>43</v>
      </c>
      <c r="AN51" s="2">
        <v>2</v>
      </c>
      <c r="AO51" s="2">
        <v>6047</v>
      </c>
      <c r="AP51" s="2" t="s">
        <v>251</v>
      </c>
      <c r="AQ51" s="2"/>
      <c r="AR51" s="2" t="s">
        <v>330</v>
      </c>
      <c r="AS51" s="3" t="s">
        <v>331</v>
      </c>
      <c r="AT51" s="2" t="s">
        <v>117</v>
      </c>
      <c r="AU51" s="2" t="s">
        <v>117</v>
      </c>
      <c r="AV51" s="7">
        <v>73.45</v>
      </c>
      <c r="AW51" s="2">
        <v>2</v>
      </c>
      <c r="AX51" s="2"/>
      <c r="AY51" s="2"/>
    </row>
    <row r="52" spans="1:51" ht="18.75" customHeight="1">
      <c r="A52" t="str">
        <f>"100220181126103742999"</f>
        <v>100220181126103742999</v>
      </c>
      <c r="B52" s="9">
        <v>50</v>
      </c>
      <c r="C52" s="2" t="s">
        <v>248</v>
      </c>
      <c r="D52" s="2" t="str">
        <f>"罗鲁涛"</f>
        <v>罗鲁涛</v>
      </c>
      <c r="E52" s="2" t="str">
        <f>"男"</f>
        <v>男</v>
      </c>
      <c r="F52" s="2" t="str">
        <f>"1993-06-20"</f>
        <v>1993-06-20</v>
      </c>
      <c r="G52" s="2" t="str">
        <f>"330682199306205012"</f>
        <v>330682199306205012</v>
      </c>
      <c r="H52" s="2" t="str">
        <f>"浙江省绍兴市上虞区"</f>
        <v>浙江省绍兴市上虞区</v>
      </c>
      <c r="I52" s="2" t="str">
        <f t="shared" si="35"/>
        <v>非应届生</v>
      </c>
      <c r="J52" s="2" t="str">
        <f>"无"</f>
        <v>无</v>
      </c>
      <c r="K52" s="2" t="str">
        <f>"2016.06"</f>
        <v>2016.06</v>
      </c>
      <c r="L52" s="2" t="str">
        <f>"学士"</f>
        <v>学士</v>
      </c>
      <c r="M52" s="2" t="str">
        <f>"中国计量大学"</f>
        <v>中国计量大学</v>
      </c>
      <c r="N52" s="2" t="str">
        <f>"材料化学"</f>
        <v>材料化学</v>
      </c>
      <c r="O52" s="2" t="str">
        <f>"本科"</f>
        <v>本科</v>
      </c>
      <c r="P52" s="2" t="str">
        <f>"169"</f>
        <v>169</v>
      </c>
      <c r="Q52" s="2" t="str">
        <f>"纳诺科技有限公司"</f>
        <v>纳诺科技有限公司</v>
      </c>
      <c r="R52" s="2" t="str">
        <f>"2016.05"</f>
        <v>2016.05</v>
      </c>
      <c r="S52" s="2" t="str">
        <f>"浙江省绍兴市上虞区滨海新城纳诺科技有限公司"</f>
        <v>浙江省绍兴市上虞区滨海新城纳诺科技有限公司</v>
      </c>
      <c r="T52" s="2" t="str">
        <f>"312300"</f>
        <v>312300</v>
      </c>
      <c r="U52" s="2" t="str">
        <f>"15757163430"</f>
        <v>15757163430</v>
      </c>
      <c r="V52" s="2" t="str">
        <f>"15757163430"</f>
        <v>15757163430</v>
      </c>
      <c r="W52" s="2" t="str">
        <f t="shared" ref="W52" si="36">"无"</f>
        <v>无</v>
      </c>
      <c r="X52" s="2" t="str">
        <f t="shared" si="26"/>
        <v>否</v>
      </c>
      <c r="Y52" s="2" t="str">
        <f>"CET-4"</f>
        <v>CET-4</v>
      </c>
      <c r="Z52" s="2" t="str">
        <f>"浙江省C语言二级"</f>
        <v>浙江省C语言二级</v>
      </c>
      <c r="AA52" s="2" t="str">
        <f>"爷爷|罗汉明|务农|奶奶|宋荷花|务农||||||"</f>
        <v>爷爷|罗汉明|务农|奶奶|宋荷花|务农||||||</v>
      </c>
      <c r="AB52" s="2" t="str">
        <f>"2009.09-2012.06崧厦中学 学生_x000D_
2012.09-2016.06中国计量大学 学生_x000D_
2016.05-2016.09浙江卧龙灯塔电源有限公司 铅酸蓄电池工艺师_x000D_
2017.06-2017.07浙江佑谦特种材料有限公司 储备干部_x000D_
2017.08-2017.10浙江新时代海创锂电有限公司 实验室助理_x000D_
2018.04-至今 纳诺科技有限公司 实验室助理工程师"</f>
        <v>2009.09-2012.06崧厦中学 学生_x000D_
2012.09-2016.06中国计量大学 学生_x000D_
2016.05-2016.09浙江卧龙灯塔电源有限公司 铅酸蓄电池工艺师_x000D_
2017.06-2017.07浙江佑谦特种材料有限公司 储备干部_x000D_
2017.08-2017.10浙江新时代海创锂电有限公司 实验室助理_x000D_
2018.04-至今 纳诺科技有限公司 实验室助理工程师</v>
      </c>
      <c r="AC52" s="2" t="str">
        <f t="shared" si="34"/>
        <v>无</v>
      </c>
      <c r="AD52" s="2" t="str">
        <f>""</f>
        <v/>
      </c>
      <c r="AE52" s="4">
        <v>43430.456793981481</v>
      </c>
      <c r="AF52" s="2">
        <v>1</v>
      </c>
      <c r="AG52" s="2">
        <v>1</v>
      </c>
      <c r="AH52" s="2">
        <v>4</v>
      </c>
      <c r="AI52" s="2" t="str">
        <f>"18002021110"</f>
        <v>18002021110</v>
      </c>
      <c r="AJ52" s="2">
        <v>11</v>
      </c>
      <c r="AK52" s="2">
        <v>10</v>
      </c>
      <c r="AL52" s="2" t="s">
        <v>42</v>
      </c>
      <c r="AM52" s="2" t="s">
        <v>43</v>
      </c>
      <c r="AN52" s="2">
        <v>2</v>
      </c>
      <c r="AO52" s="2">
        <v>4918</v>
      </c>
      <c r="AP52" s="2" t="s">
        <v>250</v>
      </c>
      <c r="AQ52" s="2"/>
      <c r="AR52" s="2" t="s">
        <v>330</v>
      </c>
      <c r="AS52" s="3" t="s">
        <v>331</v>
      </c>
      <c r="AT52" s="2" t="s">
        <v>117</v>
      </c>
      <c r="AU52" s="2" t="s">
        <v>117</v>
      </c>
      <c r="AV52" s="7">
        <v>73.2</v>
      </c>
      <c r="AW52" s="2">
        <v>3</v>
      </c>
      <c r="AX52" s="2"/>
      <c r="AY52" s="2"/>
    </row>
    <row r="53" spans="1:51" ht="18.75" customHeight="1">
      <c r="A53" t="str">
        <f>"1002201811301027136804"</f>
        <v>1002201811301027136804</v>
      </c>
      <c r="B53" s="9">
        <v>51</v>
      </c>
      <c r="C53" s="2" t="s">
        <v>253</v>
      </c>
      <c r="D53" s="2" t="str">
        <f>"窦瑞君"</f>
        <v>窦瑞君</v>
      </c>
      <c r="E53" s="2" t="str">
        <f>"女"</f>
        <v>女</v>
      </c>
      <c r="F53" s="2" t="str">
        <f>"1984-11-09"</f>
        <v>1984-11-09</v>
      </c>
      <c r="G53" s="2" t="str">
        <f>"321081198411091526"</f>
        <v>321081198411091526</v>
      </c>
      <c r="H53" s="2" t="str">
        <f>"江苏省仪征市真州镇"</f>
        <v>江苏省仪征市真州镇</v>
      </c>
      <c r="I53" s="2" t="str">
        <f t="shared" si="35"/>
        <v>非应届生</v>
      </c>
      <c r="J53" s="2" t="str">
        <f t="shared" ref="J53:J55" si="37">"无"</f>
        <v>无</v>
      </c>
      <c r="K53" s="2" t="str">
        <f>"2006.06"</f>
        <v>2006.06</v>
      </c>
      <c r="L53" s="2" t="str">
        <f t="shared" ref="L53:L64" si="38">"学士"</f>
        <v>学士</v>
      </c>
      <c r="M53" s="2" t="str">
        <f>"淮海工学院"</f>
        <v>淮海工学院</v>
      </c>
      <c r="N53" s="2" t="str">
        <f t="shared" ref="N53:N55" si="39">"制药工程"</f>
        <v>制药工程</v>
      </c>
      <c r="O53" s="2" t="str">
        <f t="shared" ref="O53:O64" si="40">"本科"</f>
        <v>本科</v>
      </c>
      <c r="P53" s="2" t="str">
        <f>"162"</f>
        <v>162</v>
      </c>
      <c r="Q53" s="2" t="str">
        <f>"仪征市真州镇奎楼社区"</f>
        <v>仪征市真州镇奎楼社区</v>
      </c>
      <c r="R53" s="2" t="str">
        <f>"2006.07"</f>
        <v>2006.07</v>
      </c>
      <c r="S53" s="2" t="str">
        <f>"仪征市永庆村秦庄组29号"</f>
        <v>仪征市永庆村秦庄组29号</v>
      </c>
      <c r="T53" s="2" t="str">
        <f>"211400"</f>
        <v>211400</v>
      </c>
      <c r="U53" s="2" t="str">
        <f>"051483452765"</f>
        <v>051483452765</v>
      </c>
      <c r="V53" s="2" t="str">
        <f>"15852894918"</f>
        <v>15852894918</v>
      </c>
      <c r="W53" s="2" t="str">
        <f>"二级甲等"</f>
        <v>二级甲等</v>
      </c>
      <c r="X53" s="2" t="str">
        <f t="shared" si="26"/>
        <v>否</v>
      </c>
      <c r="Y53" s="2" t="str">
        <f>"大学英语四级"</f>
        <v>大学英语四级</v>
      </c>
      <c r="Z53" s="2" t="str">
        <f>"无"</f>
        <v>无</v>
      </c>
      <c r="AA53" s="2" t="str">
        <f>"夫妻|余俊|自由职业|母女|余梓沫|学龄前儿童||||||"</f>
        <v>夫妻|余俊|自由职业|母女|余梓沫|学龄前儿童||||||</v>
      </c>
      <c r="AB53" s="5" t="s">
        <v>255</v>
      </c>
      <c r="AC53" s="2" t="str">
        <f t="shared" si="34"/>
        <v>无</v>
      </c>
      <c r="AD53" s="2" t="str">
        <f>""</f>
        <v/>
      </c>
      <c r="AE53" s="4">
        <v>43434.444594907407</v>
      </c>
      <c r="AF53" s="2">
        <v>1</v>
      </c>
      <c r="AG53" s="2">
        <v>1</v>
      </c>
      <c r="AH53" s="2">
        <v>1</v>
      </c>
      <c r="AI53" s="2" t="str">
        <f>"18002021324"</f>
        <v>18002021324</v>
      </c>
      <c r="AJ53" s="2">
        <v>13</v>
      </c>
      <c r="AK53" s="2">
        <v>24</v>
      </c>
      <c r="AL53" s="2" t="s">
        <v>42</v>
      </c>
      <c r="AM53" s="2" t="s">
        <v>43</v>
      </c>
      <c r="AN53" s="2">
        <v>2</v>
      </c>
      <c r="AO53" s="2">
        <v>7057</v>
      </c>
      <c r="AP53" s="2" t="s">
        <v>256</v>
      </c>
      <c r="AQ53" s="2"/>
      <c r="AR53" s="2" t="s">
        <v>330</v>
      </c>
      <c r="AS53" s="3" t="s">
        <v>331</v>
      </c>
      <c r="AT53" s="2" t="s">
        <v>117</v>
      </c>
      <c r="AU53" s="2" t="s">
        <v>117</v>
      </c>
      <c r="AV53" s="7">
        <v>71.400000000000006</v>
      </c>
      <c r="AW53" s="2">
        <v>1</v>
      </c>
      <c r="AX53" s="2"/>
      <c r="AY53" s="2"/>
    </row>
    <row r="54" spans="1:51" ht="18.75" customHeight="1">
      <c r="A54" t="str">
        <f>"1002201811261520392048"</f>
        <v>1002201811261520392048</v>
      </c>
      <c r="B54" s="9">
        <v>52</v>
      </c>
      <c r="C54" s="2" t="s">
        <v>253</v>
      </c>
      <c r="D54" s="2" t="str">
        <f>"许建峰"</f>
        <v>许建峰</v>
      </c>
      <c r="E54" s="2" t="str">
        <f>"男"</f>
        <v>男</v>
      </c>
      <c r="F54" s="2" t="str">
        <f>"1993-12-31"</f>
        <v>1993-12-31</v>
      </c>
      <c r="G54" s="2" t="str">
        <f>"32098119931231247X"</f>
        <v>32098119931231247X</v>
      </c>
      <c r="H54" s="2" t="str">
        <f>"江苏盐城"</f>
        <v>江苏盐城</v>
      </c>
      <c r="I54" s="2" t="str">
        <f t="shared" si="35"/>
        <v>非应届生</v>
      </c>
      <c r="J54" s="2" t="str">
        <f t="shared" si="37"/>
        <v>无</v>
      </c>
      <c r="K54" s="2" t="str">
        <f>"2016.06"</f>
        <v>2016.06</v>
      </c>
      <c r="L54" s="2" t="str">
        <f t="shared" si="38"/>
        <v>学士</v>
      </c>
      <c r="M54" s="2" t="str">
        <f>"南京工业大学浦江学院"</f>
        <v>南京工业大学浦江学院</v>
      </c>
      <c r="N54" s="2" t="str">
        <f t="shared" si="39"/>
        <v>制药工程</v>
      </c>
      <c r="O54" s="2" t="str">
        <f t="shared" si="40"/>
        <v>本科</v>
      </c>
      <c r="P54" s="2" t="str">
        <f>"178"</f>
        <v>178</v>
      </c>
      <c r="Q54" s="2" t="str">
        <f>"无"</f>
        <v>无</v>
      </c>
      <c r="R54" s="2" t="str">
        <f>"2016.07"</f>
        <v>2016.07</v>
      </c>
      <c r="S54" s="2" t="str">
        <f>"江苏省盐城市东台市梁垛镇台南社区天仙北路"</f>
        <v>江苏省盐城市东台市梁垛镇台南社区天仙北路</v>
      </c>
      <c r="T54" s="2" t="str">
        <f>"224214"</f>
        <v>224214</v>
      </c>
      <c r="U54" s="2" t="str">
        <f>"无"</f>
        <v>无</v>
      </c>
      <c r="V54" s="2" t="str">
        <f>"18752068729"</f>
        <v>18752068729</v>
      </c>
      <c r="W54" s="2" t="str">
        <f>"无"</f>
        <v>无</v>
      </c>
      <c r="X54" s="2" t="str">
        <f t="shared" si="26"/>
        <v>否</v>
      </c>
      <c r="Y54" s="2" t="str">
        <f>"英语四级"</f>
        <v>英语四级</v>
      </c>
      <c r="Z54" s="2" t="str">
        <f>"计算机一级"</f>
        <v>计算机一级</v>
      </c>
      <c r="AA54" s="2" t="str">
        <f>"父亲|许桂华|江苏省东台市梁垛镇鹤伦村 农民|母亲|朱明霞|江苏省东台市梁垛镇鹤伦村 农民|姐姐|许丽丽|江苏省江阴市月城镇农业服务中心 办事员|||"</f>
        <v>父亲|许桂华|江苏省东台市梁垛镇鹤伦村 农民|母亲|朱明霞|江苏省东台市梁垛镇鹤伦村 农民|姐姐|许丽丽|江苏省江阴市月城镇农业服务中心 办事员|||</v>
      </c>
      <c r="AB54" s="2" t="str">
        <f>"2009.09-2012.06 江苏省东台中学 高中_x000D_
2012.09-2016.06 南京工业大学浦江学院制药工程专业 学生_x000D_
2016.07-2017.02 南通精华制药 职员_x000D_
2017.03至今 备考"</f>
        <v>2009.09-2012.06 江苏省东台中学 高中_x000D_
2012.09-2016.06 南京工业大学浦江学院制药工程专业 学生_x000D_
2016.07-2017.02 南通精华制药 职员_x000D_
2017.03至今 备考</v>
      </c>
      <c r="AC54" s="2" t="str">
        <f t="shared" si="34"/>
        <v>无</v>
      </c>
      <c r="AD54" s="2" t="str">
        <f>""</f>
        <v/>
      </c>
      <c r="AE54" s="4">
        <v>43430.961134259262</v>
      </c>
      <c r="AF54" s="2">
        <v>1</v>
      </c>
      <c r="AG54" s="2">
        <v>1</v>
      </c>
      <c r="AH54" s="2">
        <v>2</v>
      </c>
      <c r="AI54" s="2" t="str">
        <f>"18002021315"</f>
        <v>18002021315</v>
      </c>
      <c r="AJ54" s="2">
        <v>13</v>
      </c>
      <c r="AK54" s="2">
        <v>15</v>
      </c>
      <c r="AL54" s="2" t="s">
        <v>42</v>
      </c>
      <c r="AM54" s="2" t="s">
        <v>43</v>
      </c>
      <c r="AN54" s="2">
        <v>2</v>
      </c>
      <c r="AO54" s="2">
        <v>4186</v>
      </c>
      <c r="AP54" s="2" t="s">
        <v>254</v>
      </c>
      <c r="AQ54" s="2"/>
      <c r="AR54" s="2" t="s">
        <v>330</v>
      </c>
      <c r="AS54" s="3" t="s">
        <v>331</v>
      </c>
      <c r="AT54" s="2" t="s">
        <v>117</v>
      </c>
      <c r="AU54" s="2" t="s">
        <v>117</v>
      </c>
      <c r="AV54" s="7">
        <v>71</v>
      </c>
      <c r="AW54" s="2">
        <v>2</v>
      </c>
      <c r="AX54" s="2"/>
      <c r="AY54" s="2"/>
    </row>
    <row r="55" spans="1:51" ht="18.75" customHeight="1">
      <c r="A55" t="str">
        <f>"1002201811261522432052"</f>
        <v>1002201811261522432052</v>
      </c>
      <c r="B55" s="9">
        <v>53</v>
      </c>
      <c r="C55" s="2" t="s">
        <v>253</v>
      </c>
      <c r="D55" s="2" t="str">
        <f>"刘潇"</f>
        <v>刘潇</v>
      </c>
      <c r="E55" s="2" t="str">
        <f>"男"</f>
        <v>男</v>
      </c>
      <c r="F55" s="2" t="str">
        <f>"1993-03-29"</f>
        <v>1993-03-29</v>
      </c>
      <c r="G55" s="2" t="str">
        <f>"320683199303297016"</f>
        <v>320683199303297016</v>
      </c>
      <c r="H55" s="2" t="str">
        <f>"江苏省南通市通州区"</f>
        <v>江苏省南通市通州区</v>
      </c>
      <c r="I55" s="2" t="str">
        <f t="shared" si="35"/>
        <v>非应届生</v>
      </c>
      <c r="J55" s="2" t="str">
        <f t="shared" si="37"/>
        <v>无</v>
      </c>
      <c r="K55" s="2" t="str">
        <f>"2017.6"</f>
        <v>2017.6</v>
      </c>
      <c r="L55" s="2" t="str">
        <f t="shared" si="38"/>
        <v>学士</v>
      </c>
      <c r="M55" s="2" t="str">
        <f>"南京中医药大学翰林学院"</f>
        <v>南京中医药大学翰林学院</v>
      </c>
      <c r="N55" s="2" t="str">
        <f t="shared" si="39"/>
        <v>制药工程</v>
      </c>
      <c r="O55" s="2" t="str">
        <f t="shared" si="40"/>
        <v>本科</v>
      </c>
      <c r="P55" s="2" t="str">
        <f>"173"</f>
        <v>173</v>
      </c>
      <c r="Q55" s="2" t="str">
        <f>"泰州市高港区大泗镇人民政府"</f>
        <v>泰州市高港区大泗镇人民政府</v>
      </c>
      <c r="R55" s="2" t="str">
        <f>"2017.9"</f>
        <v>2017.9</v>
      </c>
      <c r="S55" s="2" t="str">
        <f>"南通市通州区兴仁镇兴中路59号"</f>
        <v>南通市通州区兴仁镇兴中路59号</v>
      </c>
      <c r="T55" s="2" t="str">
        <f>"226300"</f>
        <v>226300</v>
      </c>
      <c r="U55" s="2" t="str">
        <f>"0513-86614765"</f>
        <v>0513-86614765</v>
      </c>
      <c r="V55" s="2" t="str">
        <f>"18860894239"</f>
        <v>18860894239</v>
      </c>
      <c r="W55" s="2" t="str">
        <f>"无"</f>
        <v>无</v>
      </c>
      <c r="X55" s="2" t="str">
        <f t="shared" si="26"/>
        <v>否</v>
      </c>
      <c r="Y55" s="2" t="str">
        <f>"英语六级"</f>
        <v>英语六级</v>
      </c>
      <c r="Z55" s="2" t="str">
        <f>"计算机一级"</f>
        <v>计算机一级</v>
      </c>
      <c r="AA55" s="2" t="str">
        <f>"父亲|刘建中|自由职业|母亲|刘雪梅|江苏宝达纺织厂||||||"</f>
        <v>父亲|刘建中|自由职业|母亲|刘雪梅|江苏宝达纺织厂||||||</v>
      </c>
      <c r="AB55" s="2" t="str">
        <f>"2009.9-2012.6 江苏省平潮高级中学 学生_x000D_
2012.9-2013.6 江苏省白蒲高级中学 学生_x000D_
2013.9-2017.6 南京中医药大学翰林学院制药工程专业 学生_x000D_
2017.9-2018.11 南通市崇川区市场监督管理局 合同制职工_x000D_
2018.11至今 泰州市高港区大泗镇人民政府 办事员"</f>
        <v>2009.9-2012.6 江苏省平潮高级中学 学生_x000D_
2012.9-2013.6 江苏省白蒲高级中学 学生_x000D_
2013.9-2017.6 南京中医药大学翰林学院制药工程专业 学生_x000D_
2017.9-2018.11 南通市崇川区市场监督管理局 合同制职工_x000D_
2018.11至今 泰州市高港区大泗镇人民政府 办事员</v>
      </c>
      <c r="AC55" s="2" t="str">
        <f t="shared" si="34"/>
        <v>无</v>
      </c>
      <c r="AD55" s="2" t="str">
        <f>""</f>
        <v/>
      </c>
      <c r="AE55" s="4">
        <v>43430.853518518517</v>
      </c>
      <c r="AF55" s="2">
        <v>1</v>
      </c>
      <c r="AG55" s="2">
        <v>1</v>
      </c>
      <c r="AH55" s="2">
        <v>2</v>
      </c>
      <c r="AI55" s="2" t="str">
        <f>"18002021406"</f>
        <v>18002021406</v>
      </c>
      <c r="AJ55" s="2">
        <v>14</v>
      </c>
      <c r="AK55" s="2">
        <v>6</v>
      </c>
      <c r="AL55" s="2" t="s">
        <v>42</v>
      </c>
      <c r="AM55" s="2" t="s">
        <v>43</v>
      </c>
      <c r="AN55" s="2">
        <v>2</v>
      </c>
      <c r="AO55" s="2">
        <v>9088</v>
      </c>
      <c r="AP55" s="2" t="s">
        <v>257</v>
      </c>
      <c r="AQ55" s="2"/>
      <c r="AR55" s="2" t="s">
        <v>330</v>
      </c>
      <c r="AS55" s="3" t="s">
        <v>331</v>
      </c>
      <c r="AT55" s="2" t="s">
        <v>117</v>
      </c>
      <c r="AU55" s="2" t="s">
        <v>117</v>
      </c>
      <c r="AV55" s="7">
        <v>70.5</v>
      </c>
      <c r="AW55" s="2">
        <v>3</v>
      </c>
      <c r="AX55" s="2"/>
      <c r="AY55" s="2"/>
    </row>
    <row r="56" spans="1:51" ht="18.75" customHeight="1">
      <c r="A56" t="str">
        <f>"1002201811262213512976"</f>
        <v>1002201811262213512976</v>
      </c>
      <c r="B56" s="9">
        <v>54</v>
      </c>
      <c r="C56" s="2" t="s">
        <v>258</v>
      </c>
      <c r="D56" s="2" t="str">
        <f>"张楠"</f>
        <v>张楠</v>
      </c>
      <c r="E56" s="2" t="str">
        <f>"女"</f>
        <v>女</v>
      </c>
      <c r="F56" s="2" t="str">
        <f>"1996-09-29"</f>
        <v>1996-09-29</v>
      </c>
      <c r="G56" s="2" t="str">
        <f>"320611199609293120"</f>
        <v>320611199609293120</v>
      </c>
      <c r="H56" s="2" t="str">
        <f>"江苏南通"</f>
        <v>江苏南通</v>
      </c>
      <c r="I56" s="2" t="str">
        <f>"应届生"</f>
        <v>应届生</v>
      </c>
      <c r="J56" s="2" t="str">
        <f>"无"</f>
        <v>无</v>
      </c>
      <c r="K56" s="2" t="str">
        <f>"2019.06"</f>
        <v>2019.06</v>
      </c>
      <c r="L56" s="2" t="str">
        <f t="shared" si="38"/>
        <v>学士</v>
      </c>
      <c r="M56" s="2" t="str">
        <f>"盐城工学院"</f>
        <v>盐城工学院</v>
      </c>
      <c r="N56" s="2" t="str">
        <f>"建筑学"</f>
        <v>建筑学</v>
      </c>
      <c r="O56" s="2" t="str">
        <f t="shared" si="40"/>
        <v>本科</v>
      </c>
      <c r="P56" s="2" t="str">
        <f>"160"</f>
        <v>160</v>
      </c>
      <c r="Q56" s="2" t="str">
        <f>"无"</f>
        <v>无</v>
      </c>
      <c r="R56" s="2" t="str">
        <f>"无"</f>
        <v>无</v>
      </c>
      <c r="S56" s="2" t="str">
        <f>"江苏省南通市港闸区秦灶街道民安花苑9号楼"</f>
        <v>江苏省南通市港闸区秦灶街道民安花苑9号楼</v>
      </c>
      <c r="T56" s="2" t="str">
        <f>"226000"</f>
        <v>226000</v>
      </c>
      <c r="U56" s="2" t="str">
        <f>"无"</f>
        <v>无</v>
      </c>
      <c r="V56" s="2" t="str">
        <f>"17802591180"</f>
        <v>17802591180</v>
      </c>
      <c r="W56" s="2" t="str">
        <f>"二级乙等"</f>
        <v>二级乙等</v>
      </c>
      <c r="X56" s="2" t="str">
        <f t="shared" si="26"/>
        <v>否</v>
      </c>
      <c r="Y56" s="2" t="str">
        <f>"全国大学英语等级考试6级"</f>
        <v>全国大学英语等级考试6级</v>
      </c>
      <c r="Z56" s="2" t="str">
        <f>"全国计算机等级考试2级"</f>
        <v>全国计算机等级考试2级</v>
      </c>
      <c r="AA56" s="2" t="str">
        <f>"父亲|张志建|南通续恩纺织公司|母亲|陆凤平|南通大众燃气||||||"</f>
        <v>父亲|张志建|南通续恩纺织公司|母亲|陆凤平|南通大众燃气||||||</v>
      </c>
      <c r="AB56" s="2" t="str">
        <f>"2011.09-2014.06 江苏省南通中学 学生_x000D_
2014.09-2019.06 盐城工学院土木工程学院建筑学专业 学生"</f>
        <v>2011.09-2014.06 江苏省南通中学 学生_x000D_
2014.09-2019.06 盐城工学院土木工程学院建筑学专业 学生</v>
      </c>
      <c r="AC56" s="2" t="str">
        <f t="shared" si="34"/>
        <v>无</v>
      </c>
      <c r="AD56" s="2" t="str">
        <f>""</f>
        <v/>
      </c>
      <c r="AE56" s="4">
        <v>43431.433495370373</v>
      </c>
      <c r="AF56" s="2">
        <v>1</v>
      </c>
      <c r="AG56" s="2">
        <v>1</v>
      </c>
      <c r="AH56" s="2">
        <v>9</v>
      </c>
      <c r="AI56" s="2" t="str">
        <f>"18002021824"</f>
        <v>18002021824</v>
      </c>
      <c r="AJ56" s="2">
        <v>18</v>
      </c>
      <c r="AK56" s="2">
        <v>24</v>
      </c>
      <c r="AL56" s="2" t="s">
        <v>42</v>
      </c>
      <c r="AM56" s="2" t="s">
        <v>43</v>
      </c>
      <c r="AN56" s="2">
        <v>2</v>
      </c>
      <c r="AO56" s="2">
        <v>7175</v>
      </c>
      <c r="AP56" s="2" t="s">
        <v>162</v>
      </c>
      <c r="AQ56" s="2"/>
      <c r="AR56" s="2" t="s">
        <v>330</v>
      </c>
      <c r="AS56" s="3" t="s">
        <v>331</v>
      </c>
      <c r="AT56" s="2" t="s">
        <v>117</v>
      </c>
      <c r="AU56" s="2" t="s">
        <v>117</v>
      </c>
      <c r="AV56" s="7">
        <v>73.45</v>
      </c>
      <c r="AW56" s="2">
        <v>1</v>
      </c>
      <c r="AX56" s="2"/>
      <c r="AY56" s="2"/>
    </row>
    <row r="57" spans="1:51" ht="18.75" customHeight="1">
      <c r="A57" t="str">
        <f>"1002201811261313271667"</f>
        <v>1002201811261313271667</v>
      </c>
      <c r="B57" s="9">
        <v>55</v>
      </c>
      <c r="C57" s="2" t="s">
        <v>258</v>
      </c>
      <c r="D57" s="2" t="str">
        <f>"龚圣"</f>
        <v>龚圣</v>
      </c>
      <c r="E57" s="2" t="str">
        <f>"男"</f>
        <v>男</v>
      </c>
      <c r="F57" s="2" t="str">
        <f>"1994-04-06"</f>
        <v>1994-04-06</v>
      </c>
      <c r="G57" s="2" t="str">
        <f>"321282199404062817"</f>
        <v>321282199404062817</v>
      </c>
      <c r="H57" s="2" t="str">
        <f>"江苏省泰州市靖江市"</f>
        <v>江苏省泰州市靖江市</v>
      </c>
      <c r="I57" s="2" t="str">
        <f>"非应届生"</f>
        <v>非应届生</v>
      </c>
      <c r="J57" s="2" t="str">
        <f>"无"</f>
        <v>无</v>
      </c>
      <c r="K57" s="2" t="str">
        <f>"2016.06"</f>
        <v>2016.06</v>
      </c>
      <c r="L57" s="2" t="str">
        <f t="shared" si="38"/>
        <v>学士</v>
      </c>
      <c r="M57" s="2" t="str">
        <f>"江苏科技大学"</f>
        <v>江苏科技大学</v>
      </c>
      <c r="N57" s="2" t="str">
        <f>"工程管理"</f>
        <v>工程管理</v>
      </c>
      <c r="O57" s="2" t="str">
        <f t="shared" si="40"/>
        <v>本科</v>
      </c>
      <c r="P57" s="2" t="str">
        <f>"180"</f>
        <v>180</v>
      </c>
      <c r="Q57" s="2" t="str">
        <f>"无"</f>
        <v>无</v>
      </c>
      <c r="R57" s="2" t="str">
        <f>"无"</f>
        <v>无</v>
      </c>
      <c r="S57" s="2" t="str">
        <f>"江苏省泰州市靖江市靖城镇颐园小区2-102"</f>
        <v>江苏省泰州市靖江市靖城镇颐园小区2-102</v>
      </c>
      <c r="T57" s="2" t="str">
        <f>"214500"</f>
        <v>214500</v>
      </c>
      <c r="U57" s="2" t="str">
        <f>"052384560038"</f>
        <v>052384560038</v>
      </c>
      <c r="V57" s="2" t="str">
        <f>"18344731456"</f>
        <v>18344731456</v>
      </c>
      <c r="W57" s="2" t="str">
        <f>"二级"</f>
        <v>二级</v>
      </c>
      <c r="X57" s="2" t="str">
        <f t="shared" si="26"/>
        <v>否</v>
      </c>
      <c r="Y57" s="2" t="str">
        <f>"六级英语"</f>
        <v>六级英语</v>
      </c>
      <c r="Z57" s="2" t="str">
        <f>"二级"</f>
        <v>二级</v>
      </c>
      <c r="AA57" s="2" t="str">
        <f>"父亲|龚正华|靖江市海洁尔环保设备有限公司|母亲|刘广凤|靖江市海洁尔环保设备有限公司||||||"</f>
        <v>父亲|龚正华|靖江市海洁尔环保设备有限公司|母亲|刘广凤|靖江市海洁尔环保设备有限公司||||||</v>
      </c>
      <c r="AB57" s="2" t="str">
        <f>"2009-2012就读于靖江市第一高级中学_x000D_
2012-2016就读于江苏科技大学"</f>
        <v>2009-2012就读于靖江市第一高级中学_x000D_
2012-2016就读于江苏科技大学</v>
      </c>
      <c r="AC57" s="2" t="str">
        <f t="shared" si="34"/>
        <v>无</v>
      </c>
      <c r="AD57" s="2" t="str">
        <f>""</f>
        <v/>
      </c>
      <c r="AE57" s="4">
        <v>43430.636192129627</v>
      </c>
      <c r="AF57" s="2">
        <v>1</v>
      </c>
      <c r="AG57" s="2">
        <v>1</v>
      </c>
      <c r="AH57" s="2">
        <v>3</v>
      </c>
      <c r="AI57" s="2" t="str">
        <f>"18002021917"</f>
        <v>18002021917</v>
      </c>
      <c r="AJ57" s="2">
        <v>19</v>
      </c>
      <c r="AK57" s="2">
        <v>17</v>
      </c>
      <c r="AL57" s="2" t="s">
        <v>42</v>
      </c>
      <c r="AM57" s="2" t="s">
        <v>43</v>
      </c>
      <c r="AN57" s="2">
        <v>2</v>
      </c>
      <c r="AO57" s="2">
        <v>8090</v>
      </c>
      <c r="AP57" s="2" t="s">
        <v>263</v>
      </c>
      <c r="AQ57" s="2"/>
      <c r="AR57" s="2" t="s">
        <v>330</v>
      </c>
      <c r="AS57" s="3" t="s">
        <v>331</v>
      </c>
      <c r="AT57" s="2" t="s">
        <v>117</v>
      </c>
      <c r="AU57" s="2" t="s">
        <v>117</v>
      </c>
      <c r="AV57" s="7">
        <v>73.05</v>
      </c>
      <c r="AW57" s="2">
        <v>2</v>
      </c>
      <c r="AX57" s="2"/>
      <c r="AY57" s="2"/>
    </row>
    <row r="58" spans="1:51" ht="18.75" customHeight="1">
      <c r="A58" t="str">
        <f>"100220181126090429184"</f>
        <v>100220181126090429184</v>
      </c>
      <c r="B58" s="9">
        <v>56</v>
      </c>
      <c r="C58" s="2" t="s">
        <v>258</v>
      </c>
      <c r="D58" s="2" t="str">
        <f>"许逸凡"</f>
        <v>许逸凡</v>
      </c>
      <c r="E58" s="2" t="str">
        <f>"男"</f>
        <v>男</v>
      </c>
      <c r="F58" s="2" t="str">
        <f>"1995-11-27"</f>
        <v>1995-11-27</v>
      </c>
      <c r="G58" s="2" t="str">
        <f>"321282199511270013"</f>
        <v>321282199511270013</v>
      </c>
      <c r="H58" s="2" t="str">
        <f>"江苏靖江"</f>
        <v>江苏靖江</v>
      </c>
      <c r="I58" s="2" t="str">
        <f>"非应届生"</f>
        <v>非应届生</v>
      </c>
      <c r="J58" s="2" t="str">
        <f>"无"</f>
        <v>无</v>
      </c>
      <c r="K58" s="2" t="str">
        <f>"2017.07"</f>
        <v>2017.07</v>
      </c>
      <c r="L58" s="2" t="str">
        <f t="shared" si="38"/>
        <v>学士</v>
      </c>
      <c r="M58" s="2" t="str">
        <f>"扬州大学广陵学院"</f>
        <v>扬州大学广陵学院</v>
      </c>
      <c r="N58" s="2" t="str">
        <f>"土木工程（交通土建）"</f>
        <v>土木工程（交通土建）</v>
      </c>
      <c r="O58" s="2" t="str">
        <f t="shared" si="40"/>
        <v>本科</v>
      </c>
      <c r="P58" s="2" t="str">
        <f>"168"</f>
        <v>168</v>
      </c>
      <c r="Q58" s="2" t="str">
        <f>"靖江市规划设计院"</f>
        <v>靖江市规划设计院</v>
      </c>
      <c r="R58" s="2" t="str">
        <f>"2017.09"</f>
        <v>2017.09</v>
      </c>
      <c r="S58" s="2" t="str">
        <f>"江苏省靖江市横港北路88号4-3"</f>
        <v>江苏省靖江市横港北路88号4-3</v>
      </c>
      <c r="T58" s="2" t="str">
        <f>"214500"</f>
        <v>214500</v>
      </c>
      <c r="U58" s="2" t="str">
        <f>"无"</f>
        <v>无</v>
      </c>
      <c r="V58" s="2" t="str">
        <f>"18852699668"</f>
        <v>18852699668</v>
      </c>
      <c r="W58" s="2" t="str">
        <f>"无"</f>
        <v>无</v>
      </c>
      <c r="X58" s="2" t="str">
        <f t="shared" si="26"/>
        <v>否</v>
      </c>
      <c r="Y58" s="2" t="str">
        <f>"无"</f>
        <v>无</v>
      </c>
      <c r="Z58" s="2" t="str">
        <f>"无"</f>
        <v>无</v>
      </c>
      <c r="AA58" s="2" t="str">
        <f>"父亲|许文彬|靖江市恒星汽配有限公司|母亲|高平芳|无||||||"</f>
        <v>父亲|许文彬|靖江市恒星汽配有限公司|母亲|高平芳|无||||||</v>
      </c>
      <c r="AB58" s="2" t="str">
        <f>"2010.09-2013.06 靖江市斜桥中学 学生_x000D_
2013.09-2017.06 扬州大学广陵学院 学生_x000D_
2017.07至今 靖江市规划局 职员"</f>
        <v>2010.09-2013.06 靖江市斜桥中学 学生_x000D_
2013.09-2017.06 扬州大学广陵学院 学生_x000D_
2017.07至今 靖江市规划局 职员</v>
      </c>
      <c r="AC58" s="2" t="str">
        <f t="shared" si="34"/>
        <v>无</v>
      </c>
      <c r="AD58" s="2" t="str">
        <f>"无"</f>
        <v>无</v>
      </c>
      <c r="AE58" s="4">
        <v>43430.403229166666</v>
      </c>
      <c r="AF58" s="2">
        <v>1</v>
      </c>
      <c r="AG58" s="2">
        <v>1</v>
      </c>
      <c r="AH58" s="2">
        <v>7</v>
      </c>
      <c r="AI58" s="2" t="str">
        <f>"18002021702"</f>
        <v>18002021702</v>
      </c>
      <c r="AJ58" s="2">
        <v>17</v>
      </c>
      <c r="AK58" s="2">
        <v>2</v>
      </c>
      <c r="AL58" s="2" t="s">
        <v>42</v>
      </c>
      <c r="AM58" s="2" t="s">
        <v>43</v>
      </c>
      <c r="AN58" s="2">
        <v>2</v>
      </c>
      <c r="AO58" s="2">
        <v>4255</v>
      </c>
      <c r="AP58" s="2" t="s">
        <v>260</v>
      </c>
      <c r="AQ58" s="2"/>
      <c r="AR58" s="2" t="s">
        <v>330</v>
      </c>
      <c r="AS58" s="3" t="s">
        <v>331</v>
      </c>
      <c r="AT58" s="2" t="s">
        <v>117</v>
      </c>
      <c r="AU58" s="2" t="s">
        <v>117</v>
      </c>
      <c r="AV58" s="7">
        <v>72.5</v>
      </c>
      <c r="AW58" s="2">
        <v>3</v>
      </c>
      <c r="AX58" s="2"/>
      <c r="AY58" s="2"/>
    </row>
    <row r="59" spans="1:51" ht="18.75" customHeight="1">
      <c r="A59" t="str">
        <f>"1002201811271230313607"</f>
        <v>1002201811271230313607</v>
      </c>
      <c r="B59" s="9">
        <v>57</v>
      </c>
      <c r="C59" s="2" t="s">
        <v>258</v>
      </c>
      <c r="D59" s="2" t="str">
        <f>"孙毅骐"</f>
        <v>孙毅骐</v>
      </c>
      <c r="E59" s="2" t="str">
        <f>"男"</f>
        <v>男</v>
      </c>
      <c r="F59" s="2" t="str">
        <f>"1996-05-07"</f>
        <v>1996-05-07</v>
      </c>
      <c r="G59" s="2" t="str">
        <f>"321284199605077014"</f>
        <v>321284199605077014</v>
      </c>
      <c r="H59" s="2" t="str">
        <f>"江苏省泰州市姜堰区淤溪镇马庄村"</f>
        <v>江苏省泰州市姜堰区淤溪镇马庄村</v>
      </c>
      <c r="I59" s="2" t="str">
        <f>"应届生"</f>
        <v>应届生</v>
      </c>
      <c r="J59" s="2" t="str">
        <f>"无"</f>
        <v>无</v>
      </c>
      <c r="K59" s="2" t="str">
        <f>"2018.06"</f>
        <v>2018.06</v>
      </c>
      <c r="L59" s="2" t="str">
        <f t="shared" si="38"/>
        <v>学士</v>
      </c>
      <c r="M59" s="2" t="str">
        <f>"东南大学"</f>
        <v>东南大学</v>
      </c>
      <c r="N59" s="2" t="str">
        <f>"工程管理"</f>
        <v>工程管理</v>
      </c>
      <c r="O59" s="2" t="str">
        <f t="shared" si="40"/>
        <v>本科</v>
      </c>
      <c r="P59" s="2" t="str">
        <f>"170"</f>
        <v>170</v>
      </c>
      <c r="Q59" s="2" t="str">
        <f>"无"</f>
        <v>无</v>
      </c>
      <c r="R59" s="2" t="str">
        <f>"无"</f>
        <v>无</v>
      </c>
      <c r="S59" s="2" t="str">
        <f>"江苏省泰州市姜堰区淤溪镇马庄村"</f>
        <v>江苏省泰州市姜堰区淤溪镇马庄村</v>
      </c>
      <c r="T59" s="2" t="str">
        <f>"225515"</f>
        <v>225515</v>
      </c>
      <c r="U59" s="2" t="str">
        <f>"025-88731866"</f>
        <v>025-88731866</v>
      </c>
      <c r="V59" s="2" t="str">
        <f>"15850620298"</f>
        <v>15850620298</v>
      </c>
      <c r="W59" s="2" t="str">
        <f>"无"</f>
        <v>无</v>
      </c>
      <c r="X59" s="2" t="str">
        <f t="shared" si="26"/>
        <v>否</v>
      </c>
      <c r="Y59" s="2" t="str">
        <f>"六级"</f>
        <v>六级</v>
      </c>
      <c r="Z59" s="2" t="str">
        <f>"无"</f>
        <v>无</v>
      </c>
      <c r="AA59" s="2" t="str">
        <f>"父亲|孙永根|泰州市姜堰区粮食局|||||||||"</f>
        <v>父亲|孙永根|泰州市姜堰区粮食局|||||||||</v>
      </c>
      <c r="AB59" s="2" t="str">
        <f>"2011.09-2014.06 泰州市姜堰中学 学生_x000D_
2014.09-2018.06 东南大学 学生"</f>
        <v>2011.09-2014.06 泰州市姜堰中学 学生_x000D_
2014.09-2018.06 东南大学 学生</v>
      </c>
      <c r="AC59" s="2" t="str">
        <f t="shared" si="34"/>
        <v>无</v>
      </c>
      <c r="AD59" s="2" t="str">
        <f>""</f>
        <v/>
      </c>
      <c r="AE59" s="4">
        <v>43431.599340277775</v>
      </c>
      <c r="AF59" s="2">
        <v>1</v>
      </c>
      <c r="AG59" s="2">
        <v>1</v>
      </c>
      <c r="AH59" s="2">
        <v>2</v>
      </c>
      <c r="AI59" s="2" t="str">
        <f>"18002021502"</f>
        <v>18002021502</v>
      </c>
      <c r="AJ59" s="2">
        <v>15</v>
      </c>
      <c r="AK59" s="2">
        <v>2</v>
      </c>
      <c r="AL59" s="2" t="s">
        <v>42</v>
      </c>
      <c r="AM59" s="2" t="s">
        <v>43</v>
      </c>
      <c r="AN59" s="2">
        <v>2</v>
      </c>
      <c r="AO59" s="2">
        <v>1203</v>
      </c>
      <c r="AP59" s="2" t="s">
        <v>259</v>
      </c>
      <c r="AQ59" s="2"/>
      <c r="AR59" s="2" t="s">
        <v>330</v>
      </c>
      <c r="AS59" s="3" t="s">
        <v>331</v>
      </c>
      <c r="AT59" s="2" t="s">
        <v>117</v>
      </c>
      <c r="AU59" s="2" t="s">
        <v>117</v>
      </c>
      <c r="AV59" s="7">
        <v>72.150000000000006</v>
      </c>
      <c r="AW59" s="2">
        <v>4</v>
      </c>
      <c r="AX59" s="2"/>
      <c r="AY59" s="2"/>
    </row>
    <row r="60" spans="1:51" ht="18.75" customHeight="1">
      <c r="A60" t="str">
        <f>"1002201811300956056750"</f>
        <v>1002201811300956056750</v>
      </c>
      <c r="B60" s="9">
        <v>58</v>
      </c>
      <c r="C60" s="2" t="s">
        <v>258</v>
      </c>
      <c r="D60" s="2" t="str">
        <f>"李澍"</f>
        <v>李澍</v>
      </c>
      <c r="E60" s="2" t="str">
        <f>"男"</f>
        <v>男</v>
      </c>
      <c r="F60" s="2" t="str">
        <f>"1994-08-11"</f>
        <v>1994-08-11</v>
      </c>
      <c r="G60" s="2" t="str">
        <f>"321283199408117615"</f>
        <v>321283199408117615</v>
      </c>
      <c r="H60" s="2" t="str">
        <f>"江苏泰州"</f>
        <v>江苏泰州</v>
      </c>
      <c r="I60" s="2" t="str">
        <f>"非应届生"</f>
        <v>非应届生</v>
      </c>
      <c r="J60" s="2" t="str">
        <f>"助理工程师"</f>
        <v>助理工程师</v>
      </c>
      <c r="K60" s="2" t="str">
        <f>"2016.6"</f>
        <v>2016.6</v>
      </c>
      <c r="L60" s="2" t="str">
        <f t="shared" si="38"/>
        <v>学士</v>
      </c>
      <c r="M60" s="2" t="str">
        <f>"南京林业大学"</f>
        <v>南京林业大学</v>
      </c>
      <c r="N60" s="2" t="str">
        <f>"土木工程"</f>
        <v>土木工程</v>
      </c>
      <c r="O60" s="2" t="str">
        <f t="shared" si="40"/>
        <v>本科</v>
      </c>
      <c r="P60" s="2" t="str">
        <f>"170"</f>
        <v>170</v>
      </c>
      <c r="Q60" s="2" t="str">
        <f>"上海市城建市政工程（集团）有限公司"</f>
        <v>上海市城建市政工程（集团）有限公司</v>
      </c>
      <c r="R60" s="2" t="str">
        <f>"2016.7"</f>
        <v>2016.7</v>
      </c>
      <c r="S60" s="2" t="str">
        <f>"上海市浦东新区崮山路788号"</f>
        <v>上海市浦东新区崮山路788号</v>
      </c>
      <c r="T60" s="2" t="str">
        <f>"200120"</f>
        <v>200120</v>
      </c>
      <c r="U60" s="2" t="str">
        <f>"0523-87811138"</f>
        <v>0523-87811138</v>
      </c>
      <c r="V60" s="2" t="str">
        <f>"18120165323"</f>
        <v>18120165323</v>
      </c>
      <c r="W60" s="2" t="str">
        <f>"二级乙等"</f>
        <v>二级乙等</v>
      </c>
      <c r="X60" s="2" t="str">
        <f t="shared" si="26"/>
        <v>否</v>
      </c>
      <c r="Y60" s="2" t="str">
        <f>"英语六级"</f>
        <v>英语六级</v>
      </c>
      <c r="Z60" s="2" t="str">
        <f>"计算机一级"</f>
        <v>计算机一级</v>
      </c>
      <c r="AA60" s="2" t="str">
        <f>"父亲|李灶华|江苏中兴建设有限公司|母亲|周章云|个体||||||"</f>
        <v>父亲|李灶华|江苏中兴建设有限公司|母亲|周章云|个体||||||</v>
      </c>
      <c r="AB60" s="2" t="str">
        <f>"2009.09-2012.06 泰兴市第一高级中学 学生_x000D_
2012.09-2016.06  南京林业大学土木工程学院土木工程专业 学生_x000D_
2016.07至今 上海城建市政工程（集团）有限公司 职员"</f>
        <v>2009.09-2012.06 泰兴市第一高级中学 学生_x000D_
2012.09-2016.06  南京林业大学土木工程学院土木工程专业 学生_x000D_
2016.07至今 上海城建市政工程（集团）有限公司 职员</v>
      </c>
      <c r="AC60" s="2" t="str">
        <f>"已取得助理工程师资格"</f>
        <v>已取得助理工程师资格</v>
      </c>
      <c r="AD60" s="2" t="str">
        <f>""</f>
        <v/>
      </c>
      <c r="AE60" s="4">
        <v>43434.444027777776</v>
      </c>
      <c r="AF60" s="2">
        <v>1</v>
      </c>
      <c r="AG60" s="2">
        <v>1</v>
      </c>
      <c r="AH60" s="2">
        <v>3</v>
      </c>
      <c r="AI60" s="2" t="str">
        <f>"18002021819"</f>
        <v>18002021819</v>
      </c>
      <c r="AJ60" s="2">
        <v>18</v>
      </c>
      <c r="AK60" s="2">
        <v>19</v>
      </c>
      <c r="AL60" s="2" t="s">
        <v>42</v>
      </c>
      <c r="AM60" s="2" t="s">
        <v>43</v>
      </c>
      <c r="AN60" s="2">
        <v>2</v>
      </c>
      <c r="AO60" s="2">
        <v>6826</v>
      </c>
      <c r="AP60" s="2" t="s">
        <v>262</v>
      </c>
      <c r="AQ60" s="2"/>
      <c r="AR60" s="2" t="s">
        <v>330</v>
      </c>
      <c r="AS60" s="3" t="s">
        <v>331</v>
      </c>
      <c r="AT60" s="2" t="s">
        <v>117</v>
      </c>
      <c r="AU60" s="2" t="s">
        <v>117</v>
      </c>
      <c r="AV60" s="7">
        <v>71.95</v>
      </c>
      <c r="AW60" s="2">
        <v>5</v>
      </c>
      <c r="AX60" s="2"/>
      <c r="AY60" s="2"/>
    </row>
    <row r="61" spans="1:51" ht="18.75" customHeight="1">
      <c r="A61" t="str">
        <f>"100220181126092827458"</f>
        <v>100220181126092827458</v>
      </c>
      <c r="B61" s="9">
        <v>59</v>
      </c>
      <c r="C61" s="2" t="s">
        <v>258</v>
      </c>
      <c r="D61" s="2" t="str">
        <f>"刘畅"</f>
        <v>刘畅</v>
      </c>
      <c r="E61" s="2" t="str">
        <f>"女"</f>
        <v>女</v>
      </c>
      <c r="F61" s="2" t="str">
        <f>"1996-02-24"</f>
        <v>1996-02-24</v>
      </c>
      <c r="G61" s="2" t="str">
        <f>"321282199602241429"</f>
        <v>321282199602241429</v>
      </c>
      <c r="H61" s="2" t="str">
        <f>"江苏靖江"</f>
        <v>江苏靖江</v>
      </c>
      <c r="I61" s="2" t="str">
        <f>"非应届生"</f>
        <v>非应届生</v>
      </c>
      <c r="J61" s="2" t="str">
        <f>"无"</f>
        <v>无</v>
      </c>
      <c r="K61" s="2" t="str">
        <f>"2018.6"</f>
        <v>2018.6</v>
      </c>
      <c r="L61" s="2" t="str">
        <f t="shared" si="38"/>
        <v>学士</v>
      </c>
      <c r="M61" s="2" t="str">
        <f>"浙江理工大学"</f>
        <v>浙江理工大学</v>
      </c>
      <c r="N61" s="2" t="str">
        <f>"风景园林"</f>
        <v>风景园林</v>
      </c>
      <c r="O61" s="2" t="str">
        <f t="shared" si="40"/>
        <v>本科</v>
      </c>
      <c r="P61" s="2" t="str">
        <f>"163"</f>
        <v>163</v>
      </c>
      <c r="Q61" s="2" t="str">
        <f>"江苏省靖江市住房与城乡建设局"</f>
        <v>江苏省靖江市住房与城乡建设局</v>
      </c>
      <c r="R61" s="2" t="str">
        <f>"2018.11"</f>
        <v>2018.11</v>
      </c>
      <c r="S61" s="2" t="str">
        <f>"江苏省泰州市靖江市港阜社区A区15栋803"</f>
        <v>江苏省泰州市靖江市港阜社区A区15栋803</v>
      </c>
      <c r="T61" s="2" t="str">
        <f>"214513"</f>
        <v>214513</v>
      </c>
      <c r="U61" s="2" t="str">
        <f>"05234212310"</f>
        <v>05234212310</v>
      </c>
      <c r="V61" s="2" t="str">
        <f>"17826858454"</f>
        <v>17826858454</v>
      </c>
      <c r="W61" s="2" t="str">
        <f>"无"</f>
        <v>无</v>
      </c>
      <c r="X61" s="2" t="str">
        <f t="shared" si="26"/>
        <v>否</v>
      </c>
      <c r="Y61" s="2" t="str">
        <f>"大学生英语六级"</f>
        <v>大学生英语六级</v>
      </c>
      <c r="Z61" s="2" t="str">
        <f>"无"</f>
        <v>无</v>
      </c>
      <c r="AA61" s="2" t="str">
        <f>"父亲|黄裕平|靖江市实验学校|母亲|刘芬|靖江市斜桥中心小学||||||"</f>
        <v>父亲|黄裕平|靖江市实验学校|母亲|刘芬|靖江市斜桥中心小学||||||</v>
      </c>
      <c r="AB61" s="2" t="str">
        <f>"2012.9-2014.6 江苏省靖江高级中学 学生_x000D_
2014.9-2018.6 浙江理工大学 学生_x000D_
2018.11至今 靖江市住房保障与城乡建设局 职员"</f>
        <v>2012.9-2014.6 江苏省靖江高级中学 学生_x000D_
2014.9-2018.6 浙江理工大学 学生_x000D_
2018.11至今 靖江市住房保障与城乡建设局 职员</v>
      </c>
      <c r="AC61" s="2" t="str">
        <f>"无"</f>
        <v>无</v>
      </c>
      <c r="AD61" s="2" t="str">
        <f>""</f>
        <v/>
      </c>
      <c r="AE61" s="4">
        <v>43430.704687500001</v>
      </c>
      <c r="AF61" s="2">
        <v>1</v>
      </c>
      <c r="AG61" s="2">
        <v>1</v>
      </c>
      <c r="AH61" s="2">
        <v>1</v>
      </c>
      <c r="AI61" s="2" t="str">
        <f>"18002021809"</f>
        <v>18002021809</v>
      </c>
      <c r="AJ61" s="2">
        <v>18</v>
      </c>
      <c r="AK61" s="2">
        <v>9</v>
      </c>
      <c r="AL61" s="2" t="s">
        <v>42</v>
      </c>
      <c r="AM61" s="2" t="s">
        <v>43</v>
      </c>
      <c r="AN61" s="2">
        <v>2</v>
      </c>
      <c r="AO61" s="2">
        <v>6265</v>
      </c>
      <c r="AP61" s="2" t="s">
        <v>261</v>
      </c>
      <c r="AQ61" s="2"/>
      <c r="AR61" s="2" t="s">
        <v>330</v>
      </c>
      <c r="AS61" s="3" t="s">
        <v>331</v>
      </c>
      <c r="AT61" s="2" t="s">
        <v>117</v>
      </c>
      <c r="AU61" s="2" t="s">
        <v>117</v>
      </c>
      <c r="AV61" s="7">
        <v>71.75</v>
      </c>
      <c r="AW61" s="2">
        <v>6</v>
      </c>
      <c r="AX61" s="2"/>
      <c r="AY61" s="2"/>
    </row>
    <row r="62" spans="1:51" ht="18.75" customHeight="1">
      <c r="A62" t="str">
        <f>"1002201811262140252922"</f>
        <v>1002201811262140252922</v>
      </c>
      <c r="B62" s="9">
        <v>60</v>
      </c>
      <c r="C62" s="2" t="s">
        <v>265</v>
      </c>
      <c r="D62" s="2" t="str">
        <f>"盛夏"</f>
        <v>盛夏</v>
      </c>
      <c r="E62" s="2" t="str">
        <f>"男"</f>
        <v>男</v>
      </c>
      <c r="F62" s="2" t="str">
        <f>"1994-07-17"</f>
        <v>1994-07-17</v>
      </c>
      <c r="G62" s="2" t="str">
        <f>"320684199407176418"</f>
        <v>320684199407176418</v>
      </c>
      <c r="H62" s="2" t="str">
        <f>"江苏省海门市余东镇友谊路134号"</f>
        <v>江苏省海门市余东镇友谊路134号</v>
      </c>
      <c r="I62" s="2" t="str">
        <f t="shared" ref="I62:I64" si="41">"非应届生"</f>
        <v>非应届生</v>
      </c>
      <c r="J62" s="2" t="str">
        <f t="shared" ref="J62:J73" si="42">"无"</f>
        <v>无</v>
      </c>
      <c r="K62" s="2" t="str">
        <f>"2017.06"</f>
        <v>2017.06</v>
      </c>
      <c r="L62" s="2" t="str">
        <f t="shared" si="38"/>
        <v>学士</v>
      </c>
      <c r="M62" s="2" t="str">
        <f>"南京晓庄学院"</f>
        <v>南京晓庄学院</v>
      </c>
      <c r="N62" s="2" t="str">
        <f>"音乐学"</f>
        <v>音乐学</v>
      </c>
      <c r="O62" s="2" t="str">
        <f t="shared" si="40"/>
        <v>本科</v>
      </c>
      <c r="P62" s="2" t="str">
        <f>"181"</f>
        <v>181</v>
      </c>
      <c r="Q62" s="2" t="str">
        <f>"苏州市花桥前景实验学校"</f>
        <v>苏州市花桥前景实验学校</v>
      </c>
      <c r="R62" s="2" t="str">
        <f>"2018.09"</f>
        <v>2018.09</v>
      </c>
      <c r="S62" s="2" t="str">
        <f>"江苏省海门市余东镇勋兴街道统帅电器"</f>
        <v>江苏省海门市余东镇勋兴街道统帅电器</v>
      </c>
      <c r="T62" s="2" t="str">
        <f>"221000"</f>
        <v>221000</v>
      </c>
      <c r="U62" s="2" t="str">
        <f>"0513－82639833"</f>
        <v>0513－82639833</v>
      </c>
      <c r="V62" s="2" t="str">
        <f>"18251817069"</f>
        <v>18251817069</v>
      </c>
      <c r="W62" s="2" t="str">
        <f>"甲级乙等"</f>
        <v>甲级乙等</v>
      </c>
      <c r="X62" s="2" t="str">
        <f t="shared" si="26"/>
        <v>否</v>
      </c>
      <c r="Y62" s="2" t="str">
        <f>"英语四级"</f>
        <v>英语四级</v>
      </c>
      <c r="Z62" s="2" t="str">
        <f>"计算机一级"</f>
        <v>计算机一级</v>
      </c>
      <c r="AA62" s="2" t="str">
        <f>"父亲|盛卫忠|海门市统帅电器|母亲|陈徐蓉|海门市统帅电器||||||"</f>
        <v>父亲|盛卫忠|海门市统帅电器|母亲|陈徐蓉|海门市统帅电器||||||</v>
      </c>
      <c r="AB62" s="2" t="str">
        <f>"2010.09～2013.06，就读于江苏省包场高级中学_x000D_
2013.09～2017.06，就读于南京晓庄学院_x000D_
2018.07至今，苏州市花桥新前景实验学校工作，职业教师"</f>
        <v>2010.09～2013.06，就读于江苏省包场高级中学_x000D_
2013.09～2017.06，就读于南京晓庄学院_x000D_
2018.07至今，苏州市花桥新前景实验学校工作，职业教师</v>
      </c>
      <c r="AC62" s="2" t="str">
        <f>"无"</f>
        <v>无</v>
      </c>
      <c r="AD62" s="2" t="str">
        <f>"无"</f>
        <v>无</v>
      </c>
      <c r="AE62" s="4">
        <v>43431.450590277775</v>
      </c>
      <c r="AF62" s="2">
        <v>1</v>
      </c>
      <c r="AG62" s="2">
        <v>1</v>
      </c>
      <c r="AH62" s="2">
        <v>3</v>
      </c>
      <c r="AI62" s="2" t="str">
        <f>"18002022025"</f>
        <v>18002022025</v>
      </c>
      <c r="AJ62" s="2">
        <v>20</v>
      </c>
      <c r="AK62" s="2">
        <v>25</v>
      </c>
      <c r="AL62" s="2" t="s">
        <v>42</v>
      </c>
      <c r="AM62" s="2" t="s">
        <v>43</v>
      </c>
      <c r="AN62" s="2">
        <v>2</v>
      </c>
      <c r="AO62" s="2">
        <v>5260</v>
      </c>
      <c r="AP62" s="2" t="s">
        <v>268</v>
      </c>
      <c r="AQ62" s="2"/>
      <c r="AR62" s="2" t="s">
        <v>330</v>
      </c>
      <c r="AS62" s="3" t="s">
        <v>331</v>
      </c>
      <c r="AT62" s="2" t="s">
        <v>117</v>
      </c>
      <c r="AU62" s="2" t="s">
        <v>117</v>
      </c>
      <c r="AV62" s="7">
        <v>64.55</v>
      </c>
      <c r="AW62" s="2">
        <v>1</v>
      </c>
      <c r="AX62" s="2"/>
      <c r="AY62" s="2"/>
    </row>
    <row r="63" spans="1:51" ht="18.75" customHeight="1">
      <c r="A63" t="str">
        <f>"100220181126090216135"</f>
        <v>100220181126090216135</v>
      </c>
      <c r="B63" s="9">
        <v>61</v>
      </c>
      <c r="C63" s="2" t="s">
        <v>265</v>
      </c>
      <c r="D63" s="2" t="str">
        <f>"朱申"</f>
        <v>朱申</v>
      </c>
      <c r="E63" s="2" t="str">
        <f>"男"</f>
        <v>男</v>
      </c>
      <c r="F63" s="2" t="str">
        <f>"1995-07-26"</f>
        <v>1995-07-26</v>
      </c>
      <c r="G63" s="2" t="str">
        <f>"32072119950726081X"</f>
        <v>32072119950726081X</v>
      </c>
      <c r="H63" s="2" t="str">
        <f>"江苏省连云港市"</f>
        <v>江苏省连云港市</v>
      </c>
      <c r="I63" s="2" t="str">
        <f t="shared" si="41"/>
        <v>非应届生</v>
      </c>
      <c r="J63" s="2" t="str">
        <f t="shared" si="42"/>
        <v>无</v>
      </c>
      <c r="K63" s="2" t="str">
        <f>"2018.7"</f>
        <v>2018.7</v>
      </c>
      <c r="L63" s="2" t="str">
        <f t="shared" si="38"/>
        <v>学士</v>
      </c>
      <c r="M63" s="2" t="str">
        <f>"南京晓庄学院"</f>
        <v>南京晓庄学院</v>
      </c>
      <c r="N63" s="2" t="str">
        <f>"音乐学"</f>
        <v>音乐学</v>
      </c>
      <c r="O63" s="2" t="str">
        <f t="shared" si="40"/>
        <v>本科</v>
      </c>
      <c r="P63" s="2" t="str">
        <f>"176"</f>
        <v>176</v>
      </c>
      <c r="Q63" s="2" t="str">
        <f>"金山职业技术学院"</f>
        <v>金山职业技术学院</v>
      </c>
      <c r="R63" s="2" t="str">
        <f>"2018.8"</f>
        <v>2018.8</v>
      </c>
      <c r="S63" s="2" t="str">
        <f>"江苏省镇江市扬中市三茅街道金山路一号"</f>
        <v>江苏省镇江市扬中市三茅街道金山路一号</v>
      </c>
      <c r="T63" s="2" t="str">
        <f>"212200"</f>
        <v>212200</v>
      </c>
      <c r="U63" s="2" t="str">
        <f>"无"</f>
        <v>无</v>
      </c>
      <c r="V63" s="2" t="str">
        <f>"18351998268"</f>
        <v>18351998268</v>
      </c>
      <c r="W63" s="2" t="str">
        <f>"二级甲等"</f>
        <v>二级甲等</v>
      </c>
      <c r="X63" s="2" t="str">
        <f t="shared" si="26"/>
        <v>否</v>
      </c>
      <c r="Y63" s="2" t="str">
        <f>"一般"</f>
        <v>一般</v>
      </c>
      <c r="Z63" s="2" t="str">
        <f>"熟练"</f>
        <v>熟练</v>
      </c>
      <c r="AA63" s="2" t="str">
        <f>"父亲|朱贵尚|无|母亲|朱宗香|无||||||"</f>
        <v>父亲|朱贵尚|无|母亲|朱宗香|无||||||</v>
      </c>
      <c r="AB63" s="2" t="str">
        <f>"2011.09-2014.07  连云港市城头高级中学  学生
2014.09-2018.07  南京晓庄学院音乐学院音乐学专业  学生
2018.08-至今      金山职业技术学院  专职教师"</f>
        <v>2011.09-2014.07  连云港市城头高级中学  学生
2014.09-2018.07  南京晓庄学院音乐学院音乐学专业  学生
2018.08-至今      金山职业技术学院  专职教师</v>
      </c>
      <c r="AC63" s="2" t="str">
        <f>""</f>
        <v/>
      </c>
      <c r="AD63" s="2" t="str">
        <f>""</f>
        <v/>
      </c>
      <c r="AE63" s="4">
        <v>43430.600162037037</v>
      </c>
      <c r="AF63" s="2">
        <v>1</v>
      </c>
      <c r="AG63" s="2">
        <v>1</v>
      </c>
      <c r="AH63" s="2">
        <v>2</v>
      </c>
      <c r="AI63" s="2" t="str">
        <f>"18002022018"</f>
        <v>18002022018</v>
      </c>
      <c r="AJ63" s="2">
        <v>20</v>
      </c>
      <c r="AK63" s="2">
        <v>18</v>
      </c>
      <c r="AL63" s="2" t="s">
        <v>42</v>
      </c>
      <c r="AM63" s="2" t="s">
        <v>43</v>
      </c>
      <c r="AN63" s="2">
        <v>2</v>
      </c>
      <c r="AO63" s="2">
        <v>1148</v>
      </c>
      <c r="AP63" s="2" t="s">
        <v>266</v>
      </c>
      <c r="AQ63" s="2"/>
      <c r="AR63" s="2" t="s">
        <v>330</v>
      </c>
      <c r="AS63" s="3" t="s">
        <v>331</v>
      </c>
      <c r="AT63" s="2" t="s">
        <v>117</v>
      </c>
      <c r="AU63" s="2" t="s">
        <v>117</v>
      </c>
      <c r="AV63" s="7">
        <v>62.05</v>
      </c>
      <c r="AW63" s="2">
        <v>2</v>
      </c>
      <c r="AX63" s="2"/>
      <c r="AY63" s="2"/>
    </row>
    <row r="64" spans="1:51" ht="18.75" customHeight="1">
      <c r="A64" t="str">
        <f>"1002201811262303263033"</f>
        <v>1002201811262303263033</v>
      </c>
      <c r="B64" s="9">
        <v>62</v>
      </c>
      <c r="C64" s="2" t="s">
        <v>265</v>
      </c>
      <c r="D64" s="2" t="str">
        <f>"王远超"</f>
        <v>王远超</v>
      </c>
      <c r="E64" s="2" t="str">
        <f>"男"</f>
        <v>男</v>
      </c>
      <c r="F64" s="2" t="str">
        <f>"1991-06-25"</f>
        <v>1991-06-25</v>
      </c>
      <c r="G64" s="2" t="str">
        <f>"320924199106259017"</f>
        <v>320924199106259017</v>
      </c>
      <c r="H64" s="2" t="str">
        <f>"江苏射阳"</f>
        <v>江苏射阳</v>
      </c>
      <c r="I64" s="2" t="str">
        <f t="shared" si="41"/>
        <v>非应届生</v>
      </c>
      <c r="J64" s="2" t="str">
        <f t="shared" si="42"/>
        <v>无</v>
      </c>
      <c r="K64" s="2" t="str">
        <f>"2014.07"</f>
        <v>2014.07</v>
      </c>
      <c r="L64" s="2" t="str">
        <f t="shared" si="38"/>
        <v>学士</v>
      </c>
      <c r="M64" s="2" t="str">
        <f>"沈阳音乐学院"</f>
        <v>沈阳音乐学院</v>
      </c>
      <c r="N64" s="2" t="str">
        <f>"音乐学（艺术商务与管理）"</f>
        <v>音乐学（艺术商务与管理）</v>
      </c>
      <c r="O64" s="2" t="str">
        <f t="shared" si="40"/>
        <v>本科</v>
      </c>
      <c r="P64" s="2" t="str">
        <f>"173"</f>
        <v>173</v>
      </c>
      <c r="Q64" s="2" t="str">
        <f>"射阳县人民法院"</f>
        <v>射阳县人民法院</v>
      </c>
      <c r="R64" s="2" t="str">
        <f>"2016.12"</f>
        <v>2016.12</v>
      </c>
      <c r="S64" s="2" t="str">
        <f>"射阳县经济开发区法庭"</f>
        <v>射阳县经济开发区法庭</v>
      </c>
      <c r="T64" s="2" t="str">
        <f>"835629621@qq.com"</f>
        <v>835629621@qq.com</v>
      </c>
      <c r="U64" s="2" t="str">
        <f>"051582201718"</f>
        <v>051582201718</v>
      </c>
      <c r="V64" s="2" t="str">
        <f>"18351275295"</f>
        <v>18351275295</v>
      </c>
      <c r="W64" s="2" t="str">
        <f>"二级乙等"</f>
        <v>二级乙等</v>
      </c>
      <c r="X64" s="2" t="str">
        <f t="shared" si="26"/>
        <v>否</v>
      </c>
      <c r="Y64" s="2" t="str">
        <f>"B级"</f>
        <v>B级</v>
      </c>
      <c r="Z64" s="2" t="str">
        <f>"无"</f>
        <v>无</v>
      </c>
      <c r="AA64" s="2" t="str">
        <f>"父亲|王祚瑞|江苏河海有限公司|母亲|徐翠梅|盐阜人民商场射阳店||||||"</f>
        <v>父亲|王祚瑞|江苏河海有限公司|母亲|徐翠梅|盐阜人民商场射阳店||||||</v>
      </c>
      <c r="AB64" s="2" t="str">
        <f>"2007.09-2010.07 射阳县第二中学 学生_x000D_
2010.09-2014-07 沈阳音乐学院音乐学专业 学生_x000D_
2016.12至今 射阳县人民法院 书记员"</f>
        <v>2007.09-2010.07 射阳县第二中学 学生_x000D_
2010.09-2014-07 沈阳音乐学院音乐学专业 学生_x000D_
2016.12至今 射阳县人民法院 书记员</v>
      </c>
      <c r="AC64" s="2" t="str">
        <f>"无"</f>
        <v>无</v>
      </c>
      <c r="AD64" s="2" t="str">
        <f>""</f>
        <v/>
      </c>
      <c r="AE64" s="4">
        <v>43433.480173611111</v>
      </c>
      <c r="AF64" s="2">
        <v>1</v>
      </c>
      <c r="AG64" s="2">
        <v>1</v>
      </c>
      <c r="AH64" s="2">
        <v>3</v>
      </c>
      <c r="AI64" s="2" t="str">
        <f>"18002022020"</f>
        <v>18002022020</v>
      </c>
      <c r="AJ64" s="2">
        <v>20</v>
      </c>
      <c r="AK64" s="2">
        <v>20</v>
      </c>
      <c r="AL64" s="2" t="s">
        <v>42</v>
      </c>
      <c r="AM64" s="2" t="s">
        <v>43</v>
      </c>
      <c r="AN64" s="2">
        <v>2</v>
      </c>
      <c r="AO64" s="2">
        <v>2249</v>
      </c>
      <c r="AP64" s="2" t="s">
        <v>267</v>
      </c>
      <c r="AQ64" s="2"/>
      <c r="AR64" s="2" t="s">
        <v>330</v>
      </c>
      <c r="AS64" s="3" t="s">
        <v>331</v>
      </c>
      <c r="AT64" s="2" t="s">
        <v>117</v>
      </c>
      <c r="AU64" s="2" t="s">
        <v>117</v>
      </c>
      <c r="AV64" s="7">
        <v>60.8</v>
      </c>
      <c r="AW64" s="2">
        <v>3</v>
      </c>
      <c r="AX64" s="2"/>
      <c r="AY64" s="2"/>
    </row>
    <row r="65" spans="1:51" ht="18.75" customHeight="1">
      <c r="A65" t="str">
        <f>"1002201811270641393099"</f>
        <v>1002201811270641393099</v>
      </c>
      <c r="B65" s="9">
        <v>63</v>
      </c>
      <c r="C65" s="2" t="s">
        <v>269</v>
      </c>
      <c r="D65" s="2" t="str">
        <f>"熊叶洲"</f>
        <v>熊叶洲</v>
      </c>
      <c r="E65" s="2" t="str">
        <f>"女"</f>
        <v>女</v>
      </c>
      <c r="F65" s="2" t="str">
        <f>"1992-01-30"</f>
        <v>1992-01-30</v>
      </c>
      <c r="G65" s="2" t="str">
        <f>"210302199201301520"</f>
        <v>210302199201301520</v>
      </c>
      <c r="H65" s="2" t="str">
        <f>"辽宁省鞍山市"</f>
        <v>辽宁省鞍山市</v>
      </c>
      <c r="I65" s="2" t="str">
        <f>"应届生"</f>
        <v>应届生</v>
      </c>
      <c r="J65" s="2" t="str">
        <f t="shared" si="42"/>
        <v>无</v>
      </c>
      <c r="K65" s="2" t="str">
        <f>"2018年7月"</f>
        <v>2018年7月</v>
      </c>
      <c r="L65" s="2" t="str">
        <f>"研究生"</f>
        <v>研究生</v>
      </c>
      <c r="M65" s="2" t="str">
        <f>"吉林大学"</f>
        <v>吉林大学</v>
      </c>
      <c r="N65" s="2" t="str">
        <f>"文物与博物馆"</f>
        <v>文物与博物馆</v>
      </c>
      <c r="O65" s="2" t="str">
        <f>"硕士"</f>
        <v>硕士</v>
      </c>
      <c r="P65" s="2" t="str">
        <f>"166"</f>
        <v>166</v>
      </c>
      <c r="Q65" s="2" t="str">
        <f>"无"</f>
        <v>无</v>
      </c>
      <c r="R65" s="2" t="str">
        <f>"无"</f>
        <v>无</v>
      </c>
      <c r="S65" s="2" t="str">
        <f>"辽宁鞍山市铁东区汇源大道156号"</f>
        <v>辽宁鞍山市铁东区汇源大道156号</v>
      </c>
      <c r="T65" s="2" t="str">
        <f>"114000"</f>
        <v>114000</v>
      </c>
      <c r="U65" s="2" t="str">
        <f>"无"</f>
        <v>无</v>
      </c>
      <c r="V65" s="2" t="str">
        <f>"13898061318"</f>
        <v>13898061318</v>
      </c>
      <c r="W65" s="2" t="str">
        <f>"一级乙等"</f>
        <v>一级乙等</v>
      </c>
      <c r="X65" s="2" t="str">
        <f t="shared" si="26"/>
        <v>否</v>
      </c>
      <c r="Y65" s="2" t="str">
        <f>"大学英语六级"</f>
        <v>大学英语六级</v>
      </c>
      <c r="Z65" s="2" t="str">
        <f>"熟练掌握office办公软件及数据库软件"</f>
        <v>熟练掌握office办公软件及数据库软件</v>
      </c>
      <c r="AA65" s="2" t="str">
        <f>"父女|熊玉健|华润雪花啤酒（辽宁）有限公司|母女|陈芳|退休||||||"</f>
        <v>父女|熊玉健|华润雪花啤酒（辽宁）有限公司|母女|陈芳|退休||||||</v>
      </c>
      <c r="AB65" s="2" t="str">
        <f>"2007.09-2010.06 鞍山市第三中学 学生_x000D_
2010.09-2014.07 大连外国语大学 信息管理与信息系统专业 学生_x000D_
2015.09-2018.07 吉林大学 文物与博物馆专业 学生"</f>
        <v>2007.09-2010.06 鞍山市第三中学 学生_x000D_
2010.09-2014.07 大连外国语大学 信息管理与信息系统专业 学生_x000D_
2015.09-2018.07 吉林大学 文物与博物馆专业 学生</v>
      </c>
      <c r="AC65" s="2" t="str">
        <f t="shared" ref="AC65:AC67" si="43">"无"</f>
        <v>无</v>
      </c>
      <c r="AD65" s="2" t="str">
        <f>""</f>
        <v/>
      </c>
      <c r="AE65" s="4">
        <v>43432.475034722222</v>
      </c>
      <c r="AF65" s="2">
        <v>1</v>
      </c>
      <c r="AG65" s="2">
        <v>1</v>
      </c>
      <c r="AH65" s="2">
        <v>2</v>
      </c>
      <c r="AI65" s="2" t="str">
        <f>"18002022114"</f>
        <v>18002022114</v>
      </c>
      <c r="AJ65" s="2">
        <v>21</v>
      </c>
      <c r="AK65" s="2">
        <v>14</v>
      </c>
      <c r="AL65" s="2" t="s">
        <v>42</v>
      </c>
      <c r="AM65" s="2" t="s">
        <v>43</v>
      </c>
      <c r="AN65" s="2">
        <v>2</v>
      </c>
      <c r="AO65" s="2">
        <v>9405</v>
      </c>
      <c r="AP65" s="2" t="s">
        <v>272</v>
      </c>
      <c r="AQ65" s="2"/>
      <c r="AR65" s="2" t="s">
        <v>330</v>
      </c>
      <c r="AS65" s="3" t="s">
        <v>331</v>
      </c>
      <c r="AT65" s="2" t="s">
        <v>117</v>
      </c>
      <c r="AU65" s="2" t="s">
        <v>117</v>
      </c>
      <c r="AV65" s="7">
        <v>68.5</v>
      </c>
      <c r="AW65" s="2">
        <v>1</v>
      </c>
      <c r="AX65" s="2"/>
      <c r="AY65" s="2"/>
    </row>
    <row r="66" spans="1:51" ht="18.75" customHeight="1">
      <c r="A66" t="str">
        <f>"1002201811271626163923"</f>
        <v>1002201811271626163923</v>
      </c>
      <c r="B66" s="9">
        <v>64</v>
      </c>
      <c r="C66" s="2" t="s">
        <v>269</v>
      </c>
      <c r="D66" s="2" t="str">
        <f>"张林焰"</f>
        <v>张林焰</v>
      </c>
      <c r="E66" s="2" t="str">
        <f>"女"</f>
        <v>女</v>
      </c>
      <c r="F66" s="2" t="str">
        <f>"1993-10-14"</f>
        <v>1993-10-14</v>
      </c>
      <c r="G66" s="2" t="str">
        <f>"320681199310141228"</f>
        <v>320681199310141228</v>
      </c>
      <c r="H66" s="2" t="str">
        <f>"江苏南通启东"</f>
        <v>江苏南通启东</v>
      </c>
      <c r="I66" s="2" t="str">
        <f>"非应届生"</f>
        <v>非应届生</v>
      </c>
      <c r="J66" s="2" t="str">
        <f t="shared" si="42"/>
        <v>无</v>
      </c>
      <c r="K66" s="2" t="str">
        <f>"2011.7"</f>
        <v>2011.7</v>
      </c>
      <c r="L66" s="2" t="str">
        <f>"学士"</f>
        <v>学士</v>
      </c>
      <c r="M66" s="2" t="str">
        <f>"南京师范大学"</f>
        <v>南京师范大学</v>
      </c>
      <c r="N66" s="2" t="str">
        <f>"博物馆学"</f>
        <v>博物馆学</v>
      </c>
      <c r="O66" s="2" t="str">
        <f>"本科"</f>
        <v>本科</v>
      </c>
      <c r="P66" s="2" t="str">
        <f>"163"</f>
        <v>163</v>
      </c>
      <c r="Q66" s="2" t="str">
        <f>"江苏启力锻压机床有限公司"</f>
        <v>江苏启力锻压机床有限公司</v>
      </c>
      <c r="R66" s="2" t="str">
        <f>"2015.8"</f>
        <v>2015.8</v>
      </c>
      <c r="S66" s="2" t="str">
        <f>"江苏省启东市汇龙镇中成河滨花园5号楼1001"</f>
        <v>江苏省启东市汇龙镇中成河滨花园5号楼1001</v>
      </c>
      <c r="T66" s="2" t="str">
        <f>"226200"</f>
        <v>226200</v>
      </c>
      <c r="U66" s="2" t="str">
        <f>"无"</f>
        <v>无</v>
      </c>
      <c r="V66" s="2" t="str">
        <f>"13675110924"</f>
        <v>13675110924</v>
      </c>
      <c r="W66" s="2" t="str">
        <f>"无"</f>
        <v>无</v>
      </c>
      <c r="X66" s="2" t="str">
        <f t="shared" si="26"/>
        <v>否</v>
      </c>
      <c r="Y66" s="2" t="str">
        <f>"英语四级"</f>
        <v>英语四级</v>
      </c>
      <c r="Z66" s="2" t="str">
        <f>"计算机二级"</f>
        <v>计算机二级</v>
      </c>
      <c r="AA66" s="2" t="str">
        <f>"父亲|张永军|普通工人|母亲|陈允香|农民||||||"</f>
        <v>父亲|张永军|普通工人|母亲|陈允香|农民||||||</v>
      </c>
      <c r="AB66" s="2" t="str">
        <f>"2008.09-2011.05 东南中学_x000D_
2011.09-2015.07  南京师范大学_x000D_
2015.08-2017.3  南通携程信息技术有限公司_x000D_
2017.07-至今  江苏启力锻压机床有限公司"</f>
        <v>2008.09-2011.05 东南中学_x000D_
2011.09-2015.07  南京师范大学_x000D_
2015.08-2017.3  南通携程信息技术有限公司_x000D_
2017.07-至今  江苏启力锻压机床有限公司</v>
      </c>
      <c r="AC66" s="2" t="str">
        <f t="shared" si="43"/>
        <v>无</v>
      </c>
      <c r="AD66" s="2" t="str">
        <f>""</f>
        <v/>
      </c>
      <c r="AE66" s="4">
        <v>43432.470729166664</v>
      </c>
      <c r="AF66" s="2">
        <v>1</v>
      </c>
      <c r="AG66" s="2">
        <v>1</v>
      </c>
      <c r="AH66" s="2">
        <v>1</v>
      </c>
      <c r="AI66" s="2" t="str">
        <f>"18002022101"</f>
        <v>18002022101</v>
      </c>
      <c r="AJ66" s="2">
        <v>21</v>
      </c>
      <c r="AK66" s="2">
        <v>1</v>
      </c>
      <c r="AL66" s="2" t="s">
        <v>42</v>
      </c>
      <c r="AM66" s="2" t="s">
        <v>43</v>
      </c>
      <c r="AN66" s="2">
        <v>2</v>
      </c>
      <c r="AO66" s="2">
        <v>197</v>
      </c>
      <c r="AP66" s="2" t="s">
        <v>270</v>
      </c>
      <c r="AQ66" s="2"/>
      <c r="AR66" s="2" t="s">
        <v>330</v>
      </c>
      <c r="AS66" s="3" t="s">
        <v>331</v>
      </c>
      <c r="AT66" s="2" t="s">
        <v>117</v>
      </c>
      <c r="AU66" s="2" t="s">
        <v>117</v>
      </c>
      <c r="AV66" s="7">
        <v>67.849999999999994</v>
      </c>
      <c r="AW66" s="2">
        <v>2</v>
      </c>
      <c r="AX66" s="2"/>
      <c r="AY66" s="2"/>
    </row>
    <row r="67" spans="1:51" ht="18.75" customHeight="1">
      <c r="A67" t="str">
        <f>"1002201811272044134259"</f>
        <v>1002201811272044134259</v>
      </c>
      <c r="B67" s="9">
        <v>65</v>
      </c>
      <c r="C67" s="2" t="s">
        <v>269</v>
      </c>
      <c r="D67" s="2" t="str">
        <f>"徐冬"</f>
        <v>徐冬</v>
      </c>
      <c r="E67" s="2" t="str">
        <f>"男"</f>
        <v>男</v>
      </c>
      <c r="F67" s="2" t="str">
        <f>"1989-04-14"</f>
        <v>1989-04-14</v>
      </c>
      <c r="G67" s="2" t="str">
        <f>"411528198904145550"</f>
        <v>411528198904145550</v>
      </c>
      <c r="H67" s="2" t="str">
        <f>"河南省信阳市息县项店镇张庄村"</f>
        <v>河南省信阳市息县项店镇张庄村</v>
      </c>
      <c r="I67" s="2" t="str">
        <f>"非应届生"</f>
        <v>非应届生</v>
      </c>
      <c r="J67" s="2" t="str">
        <f t="shared" si="42"/>
        <v>无</v>
      </c>
      <c r="K67" s="2" t="str">
        <f>"2018.07.01"</f>
        <v>2018.07.01</v>
      </c>
      <c r="L67" s="2" t="str">
        <f>"研究生"</f>
        <v>研究生</v>
      </c>
      <c r="M67" s="2" t="str">
        <f>"郑州大学"</f>
        <v>郑州大学</v>
      </c>
      <c r="N67" s="2" t="str">
        <f>"文物与博物馆"</f>
        <v>文物与博物馆</v>
      </c>
      <c r="O67" s="2" t="str">
        <f>"硕士"</f>
        <v>硕士</v>
      </c>
      <c r="P67" s="2" t="str">
        <f>"177"</f>
        <v>177</v>
      </c>
      <c r="Q67" s="2" t="str">
        <f>"浙江省台州市仙居县文广局"</f>
        <v>浙江省台州市仙居县文广局</v>
      </c>
      <c r="R67" s="2" t="str">
        <f>"2018.11.01"</f>
        <v>2018.11.01</v>
      </c>
      <c r="S67" s="2" t="str">
        <f>"浙江省台州市仙居县解放街2号"</f>
        <v>浙江省台州市仙居县解放街2号</v>
      </c>
      <c r="T67" s="2" t="str">
        <f>"317300"</f>
        <v>317300</v>
      </c>
      <c r="U67" s="2" t="str">
        <f>"无"</f>
        <v>无</v>
      </c>
      <c r="V67" s="2" t="str">
        <f>"13634009852"</f>
        <v>13634009852</v>
      </c>
      <c r="W67" s="2" t="str">
        <f>"二级乙"</f>
        <v>二级乙</v>
      </c>
      <c r="X67" s="2" t="str">
        <f t="shared" si="26"/>
        <v>否</v>
      </c>
      <c r="Y67" s="2" t="str">
        <f>"英语四级"</f>
        <v>英语四级</v>
      </c>
      <c r="Z67" s="2" t="str">
        <f>"无"</f>
        <v>无</v>
      </c>
      <c r="AA67" s="2" t="str">
        <f>"父亲|徐长军|务农|母亲|许志娥|务农||||||"</f>
        <v>父亲|徐长军|务农|母亲|许志娥|务农||||||</v>
      </c>
      <c r="AB67" s="2" t="str">
        <f>"2008.09-2011.06 息县一高_x000D_
2011.09-2015.06  河南师范大学  历史学   学生会部长_x000D_
2015.09-2018.07  郑州大学   文物与博物馆  学生_x000D_
2018.11-至今     台州市仙居县文广新局"</f>
        <v>2008.09-2011.06 息县一高_x000D_
2011.09-2015.06  河南师范大学  历史学   学生会部长_x000D_
2015.09-2018.07  郑州大学   文物与博物馆  学生_x000D_
2018.11-至今     台州市仙居县文广新局</v>
      </c>
      <c r="AC67" s="2" t="str">
        <f t="shared" si="43"/>
        <v>无</v>
      </c>
      <c r="AD67" s="2" t="str">
        <f>""</f>
        <v/>
      </c>
      <c r="AE67" s="4">
        <v>43432.471678240741</v>
      </c>
      <c r="AF67" s="2">
        <v>1</v>
      </c>
      <c r="AG67" s="2">
        <v>1</v>
      </c>
      <c r="AH67" s="2">
        <v>2</v>
      </c>
      <c r="AI67" s="2" t="str">
        <f>"18002022110"</f>
        <v>18002022110</v>
      </c>
      <c r="AJ67" s="2">
        <v>21</v>
      </c>
      <c r="AK67" s="2">
        <v>10</v>
      </c>
      <c r="AL67" s="2" t="s">
        <v>42</v>
      </c>
      <c r="AM67" s="2" t="s">
        <v>43</v>
      </c>
      <c r="AN67" s="2">
        <v>2</v>
      </c>
      <c r="AO67" s="2">
        <v>4537</v>
      </c>
      <c r="AP67" s="2" t="s">
        <v>271</v>
      </c>
      <c r="AQ67" s="2"/>
      <c r="AR67" s="2" t="s">
        <v>330</v>
      </c>
      <c r="AS67" s="3" t="s">
        <v>331</v>
      </c>
      <c r="AT67" s="2" t="s">
        <v>117</v>
      </c>
      <c r="AU67" s="2" t="s">
        <v>117</v>
      </c>
      <c r="AV67" s="7">
        <v>65.05</v>
      </c>
      <c r="AW67" s="2">
        <v>3</v>
      </c>
      <c r="AX67" s="2"/>
      <c r="AY67" s="2"/>
    </row>
    <row r="68" spans="1:51" ht="18.75" customHeight="1">
      <c r="A68" t="str">
        <f>"1002201811261510312026"</f>
        <v>1002201811261510312026</v>
      </c>
      <c r="B68" s="9">
        <v>66</v>
      </c>
      <c r="C68" s="2" t="s">
        <v>273</v>
      </c>
      <c r="D68" s="2" t="str">
        <f>"张文军"</f>
        <v>张文军</v>
      </c>
      <c r="E68" s="2" t="str">
        <f>"男"</f>
        <v>男</v>
      </c>
      <c r="F68" s="2" t="str">
        <f>"1995-12-17"</f>
        <v>1995-12-17</v>
      </c>
      <c r="G68" s="2" t="str">
        <f>"321324199512176418"</f>
        <v>321324199512176418</v>
      </c>
      <c r="H68" s="2" t="str">
        <f>"江苏南京"</f>
        <v>江苏南京</v>
      </c>
      <c r="I68" s="2" t="str">
        <f>"应届生"</f>
        <v>应届生</v>
      </c>
      <c r="J68" s="2" t="str">
        <f t="shared" si="42"/>
        <v>无</v>
      </c>
      <c r="K68" s="2" t="str">
        <f>"2018.06"</f>
        <v>2018.06</v>
      </c>
      <c r="L68" s="2" t="str">
        <f>"学士"</f>
        <v>学士</v>
      </c>
      <c r="M68" s="2" t="str">
        <f>"南京农业大学"</f>
        <v>南京农业大学</v>
      </c>
      <c r="N68" s="2" t="str">
        <f>"人文地理与城乡规划"</f>
        <v>人文地理与城乡规划</v>
      </c>
      <c r="O68" s="2" t="str">
        <f>"本科"</f>
        <v>本科</v>
      </c>
      <c r="P68" s="2" t="str">
        <f>"182"</f>
        <v>182</v>
      </c>
      <c r="Q68" s="2" t="str">
        <f t="shared" ref="Q68:R70" si="44">"无"</f>
        <v>无</v>
      </c>
      <c r="R68" s="2" t="str">
        <f t="shared" si="44"/>
        <v>无</v>
      </c>
      <c r="S68" s="2" t="str">
        <f>"江苏省南京市玄武区网板路北苑一村6幢206室"</f>
        <v>江苏省南京市玄武区网板路北苑一村6幢206室</v>
      </c>
      <c r="T68" s="2" t="str">
        <f>"223001"</f>
        <v>223001</v>
      </c>
      <c r="U68" s="2" t="str">
        <f>"13951199358"</f>
        <v>13951199358</v>
      </c>
      <c r="V68" s="2" t="str">
        <f>"13705244865"</f>
        <v>13705244865</v>
      </c>
      <c r="W68" s="2" t="str">
        <f>"二级乙等"</f>
        <v>二级乙等</v>
      </c>
      <c r="X68" s="2" t="str">
        <f t="shared" si="26"/>
        <v>否</v>
      </c>
      <c r="Y68" s="2" t="str">
        <f>"大学生英语四级"</f>
        <v>大学生英语四级</v>
      </c>
      <c r="Z68" s="2" t="str">
        <f>"熟练"</f>
        <v>熟练</v>
      </c>
      <c r="AA68" s="2" t="str">
        <f>"父亲|张晓勤|江苏省洪泽湖监狱|母亲|陈茂燕|江苏省洪泽湖监狱||||||"</f>
        <v>父亲|张晓勤|江苏省洪泽湖监狱|母亲|陈茂燕|江苏省洪泽湖监狱||||||</v>
      </c>
      <c r="AB68" s="2" t="str">
        <f>"2011.09-2014.06 江苏省清江中学 学生_x000D_
2014.09-2018.06 南京农业大学公共管理学院人文地理与城乡规划专业 学生_x000D_
2018.05-2018.08 江苏兰德土地规划有限公司 实习"</f>
        <v>2011.09-2014.06 江苏省清江中学 学生_x000D_
2014.09-2018.06 南京农业大学公共管理学院人文地理与城乡规划专业 学生_x000D_
2018.05-2018.08 江苏兰德土地规划有限公司 实习</v>
      </c>
      <c r="AC68" s="2" t="str">
        <f>"可以从事野外作业，吃苦耐劳。在校期间进行过土地整理和土地规划方面的实习工作，做过土地增减挂钩、耕地占补平衡相关项目"</f>
        <v>可以从事野外作业，吃苦耐劳。在校期间进行过土地整理和土地规划方面的实习工作，做过土地增减挂钩、耕地占补平衡相关项目</v>
      </c>
      <c r="AD68" s="2" t="str">
        <f>""</f>
        <v/>
      </c>
      <c r="AE68" s="4">
        <v>43430.665150462963</v>
      </c>
      <c r="AF68" s="2">
        <v>1</v>
      </c>
      <c r="AG68" s="2">
        <v>1</v>
      </c>
      <c r="AH68" s="2">
        <v>5</v>
      </c>
      <c r="AI68" s="2" t="str">
        <f>"18002022115"</f>
        <v>18002022115</v>
      </c>
      <c r="AJ68" s="2">
        <v>21</v>
      </c>
      <c r="AK68" s="2">
        <v>15</v>
      </c>
      <c r="AL68" s="2" t="s">
        <v>42</v>
      </c>
      <c r="AM68" s="2" t="s">
        <v>43</v>
      </c>
      <c r="AN68" s="2">
        <v>2</v>
      </c>
      <c r="AO68" s="2">
        <v>3386</v>
      </c>
      <c r="AP68" s="2" t="s">
        <v>274</v>
      </c>
      <c r="AQ68" s="2"/>
      <c r="AR68" s="2" t="s">
        <v>330</v>
      </c>
      <c r="AS68" s="3" t="s">
        <v>331</v>
      </c>
      <c r="AT68" s="2" t="s">
        <v>117</v>
      </c>
      <c r="AU68" s="2" t="s">
        <v>117</v>
      </c>
      <c r="AV68" s="7">
        <v>69.75</v>
      </c>
      <c r="AW68" s="2">
        <v>1</v>
      </c>
      <c r="AX68" s="2"/>
      <c r="AY68" s="2"/>
    </row>
    <row r="69" spans="1:51" ht="18.75" customHeight="1">
      <c r="A69" t="str">
        <f>"1002201811281949495227"</f>
        <v>1002201811281949495227</v>
      </c>
      <c r="B69" s="9">
        <v>67</v>
      </c>
      <c r="C69" s="2" t="s">
        <v>273</v>
      </c>
      <c r="D69" s="2" t="str">
        <f>"王一惠"</f>
        <v>王一惠</v>
      </c>
      <c r="E69" s="2" t="str">
        <f>"女"</f>
        <v>女</v>
      </c>
      <c r="F69" s="2" t="str">
        <f>"1993-02-25"</f>
        <v>1993-02-25</v>
      </c>
      <c r="G69" s="2" t="str">
        <f>"320683199302250021"</f>
        <v>320683199302250021</v>
      </c>
      <c r="H69" s="2" t="str">
        <f>"江苏南通"</f>
        <v>江苏南通</v>
      </c>
      <c r="I69" s="2" t="str">
        <f>"应届生"</f>
        <v>应届生</v>
      </c>
      <c r="J69" s="2" t="str">
        <f t="shared" si="42"/>
        <v>无</v>
      </c>
      <c r="K69" s="2" t="str">
        <f>"2018.06"</f>
        <v>2018.06</v>
      </c>
      <c r="L69" s="2" t="str">
        <f>"研究生"</f>
        <v>研究生</v>
      </c>
      <c r="M69" s="2" t="str">
        <f>"福建农林大学"</f>
        <v>福建农林大学</v>
      </c>
      <c r="N69" s="2" t="str">
        <f>"自然地理学"</f>
        <v>自然地理学</v>
      </c>
      <c r="O69" s="2" t="str">
        <f>"硕士"</f>
        <v>硕士</v>
      </c>
      <c r="P69" s="2" t="str">
        <f>"160"</f>
        <v>160</v>
      </c>
      <c r="Q69" s="2" t="str">
        <f t="shared" si="44"/>
        <v>无</v>
      </c>
      <c r="R69" s="2" t="str">
        <f t="shared" si="44"/>
        <v>无</v>
      </c>
      <c r="S69" s="2" t="str">
        <f>"南通市通州区朝霞路399号水榭花都37号楼1203室"</f>
        <v>南通市通州区朝霞路399号水榭花都37号楼1203室</v>
      </c>
      <c r="T69" s="2" t="str">
        <f>"226300"</f>
        <v>226300</v>
      </c>
      <c r="U69" s="2" t="str">
        <f>"15722521017"</f>
        <v>15722521017</v>
      </c>
      <c r="V69" s="2" t="str">
        <f>"15722521017"</f>
        <v>15722521017</v>
      </c>
      <c r="W69" s="2" t="str">
        <f>"无"</f>
        <v>无</v>
      </c>
      <c r="X69" s="2" t="str">
        <f t="shared" si="26"/>
        <v>否</v>
      </c>
      <c r="Y69" s="2" t="str">
        <f>"英语六级"</f>
        <v>英语六级</v>
      </c>
      <c r="Z69" s="2" t="str">
        <f>"江苏省计算机二级"</f>
        <v>江苏省计算机二级</v>
      </c>
      <c r="AA69" s="2" t="str">
        <f>"父女|黄瑞忠|南通市通州区超限检测站|母女|王燕|江苏帝奥控股集团股份有限公司||||||"</f>
        <v>父女|黄瑞忠|南通市通州区超限检测站|母女|王燕|江苏帝奥控股集团股份有限公司||||||</v>
      </c>
      <c r="AB69" s="2" t="str">
        <f>"2008.09-2011.06 金沙中学 高中_x000D_
2008.09-2011.06 金沙中学 学生_x000D_
2011.09-2013.06 南京特殊教育师范学院公共管理系公共事务管理专业 学生_x000D_
2013.09-2015.06 南京大学金陵学院城市与资源学院资源环境与城乡规划管理（旅游规划与管理）专业 学生_x000D_
2015.09-2018.06 福建农林大学林学院自然地理学专业 学生"</f>
        <v>2008.09-2011.06 金沙中学 高中_x000D_
2008.09-2011.06 金沙中学 学生_x000D_
2011.09-2013.06 南京特殊教育师范学院公共管理系公共事务管理专业 学生_x000D_
2013.09-2015.06 南京大学金陵学院城市与资源学院资源环境与城乡规划管理（旅游规划与管理）专业 学生_x000D_
2015.09-2018.06 福建农林大学林学院自然地理学专业 学生</v>
      </c>
      <c r="AC69" s="2" t="str">
        <f>"无"</f>
        <v>无</v>
      </c>
      <c r="AD69" s="2" t="str">
        <f>""</f>
        <v/>
      </c>
      <c r="AE69" s="4">
        <v>43433.383703703701</v>
      </c>
      <c r="AF69" s="2">
        <v>1</v>
      </c>
      <c r="AG69" s="2">
        <v>1</v>
      </c>
      <c r="AH69" s="2">
        <v>1</v>
      </c>
      <c r="AI69" s="2" t="str">
        <f>"18002022117"</f>
        <v>18002022117</v>
      </c>
      <c r="AJ69" s="2">
        <v>21</v>
      </c>
      <c r="AK69" s="2">
        <v>17</v>
      </c>
      <c r="AL69" s="2" t="s">
        <v>42</v>
      </c>
      <c r="AM69" s="2" t="s">
        <v>43</v>
      </c>
      <c r="AN69" s="2">
        <v>2</v>
      </c>
      <c r="AO69" s="2">
        <v>7181</v>
      </c>
      <c r="AP69" s="2" t="s">
        <v>276</v>
      </c>
      <c r="AQ69" s="2"/>
      <c r="AR69" s="2" t="s">
        <v>330</v>
      </c>
      <c r="AS69" s="3" t="s">
        <v>331</v>
      </c>
      <c r="AT69" s="2" t="s">
        <v>117</v>
      </c>
      <c r="AU69" s="2" t="s">
        <v>117</v>
      </c>
      <c r="AV69" s="7">
        <v>65.5</v>
      </c>
      <c r="AW69" s="2">
        <v>2</v>
      </c>
      <c r="AX69" s="2"/>
      <c r="AY69" s="2"/>
    </row>
    <row r="70" spans="1:51" ht="18.75" customHeight="1">
      <c r="A70" t="str">
        <f>"1002201811261219091492"</f>
        <v>1002201811261219091492</v>
      </c>
      <c r="B70" s="9">
        <v>68</v>
      </c>
      <c r="C70" s="2" t="s">
        <v>273</v>
      </c>
      <c r="D70" s="2" t="str">
        <f>"顾甜甜"</f>
        <v>顾甜甜</v>
      </c>
      <c r="E70" s="2" t="str">
        <f>"女"</f>
        <v>女</v>
      </c>
      <c r="F70" s="2" t="str">
        <f>"1997-09-11"</f>
        <v>1997-09-11</v>
      </c>
      <c r="G70" s="2" t="str">
        <f>"320683199709110020"</f>
        <v>320683199709110020</v>
      </c>
      <c r="H70" s="2" t="str">
        <f>"江苏省南通市通州区金沙街道"</f>
        <v>江苏省南通市通州区金沙街道</v>
      </c>
      <c r="I70" s="2" t="str">
        <f>"应届生"</f>
        <v>应届生</v>
      </c>
      <c r="J70" s="2" t="str">
        <f t="shared" si="42"/>
        <v>无</v>
      </c>
      <c r="K70" s="2" t="str">
        <f>"2019.07"</f>
        <v>2019.07</v>
      </c>
      <c r="L70" s="2" t="str">
        <f t="shared" ref="L70:L73" si="45">"学士"</f>
        <v>学士</v>
      </c>
      <c r="M70" s="2" t="str">
        <f>"南京林业大学"</f>
        <v>南京林业大学</v>
      </c>
      <c r="N70" s="2" t="str">
        <f>"城乡规划"</f>
        <v>城乡规划</v>
      </c>
      <c r="O70" s="2" t="str">
        <f t="shared" ref="O70:O73" si="46">"本科"</f>
        <v>本科</v>
      </c>
      <c r="P70" s="2" t="str">
        <f>"160"</f>
        <v>160</v>
      </c>
      <c r="Q70" s="2" t="str">
        <f t="shared" si="44"/>
        <v>无</v>
      </c>
      <c r="R70" s="2" t="str">
        <f t="shared" si="44"/>
        <v>无</v>
      </c>
      <c r="S70" s="2" t="str">
        <f>"江苏省南通市通州区金沙街道市民广场2号楼405室"</f>
        <v>江苏省南通市通州区金沙街道市民广场2号楼405室</v>
      </c>
      <c r="T70" s="2" t="str">
        <f>"226300"</f>
        <v>226300</v>
      </c>
      <c r="U70" s="2" t="str">
        <f>"0513-86520956"</f>
        <v>0513-86520956</v>
      </c>
      <c r="V70" s="2" t="str">
        <f>"18252009157"</f>
        <v>18252009157</v>
      </c>
      <c r="W70" s="2" t="str">
        <f>"二级甲等"</f>
        <v>二级甲等</v>
      </c>
      <c r="X70" s="2" t="str">
        <f t="shared" si="26"/>
        <v>否</v>
      </c>
      <c r="Y70" s="2" t="str">
        <f>"大学英语四级"</f>
        <v>大学英语四级</v>
      </c>
      <c r="Z70" s="2" t="str">
        <f>"全国计算机一级"</f>
        <v>全国计算机一级</v>
      </c>
      <c r="AA70" s="2" t="str">
        <f>"父亲|顾新栋|南通市通州区金龙钢塑门窗公司|母亲|赵小丽|南通市通州区环境卫生管理处||||||"</f>
        <v>父亲|顾新栋|南通市通州区金龙钢塑门窗公司|母亲|赵小丽|南通市通州区环境卫生管理处||||||</v>
      </c>
      <c r="AB70" s="2" t="str">
        <f>"2012.09-2015.07 南通市通州区石港中学 学生_x000D_
2015.09-2019.07 南京林业大学城乡规划专业 学生"</f>
        <v>2012.09-2015.07 南通市通州区石港中学 学生_x000D_
2015.09-2019.07 南京林业大学城乡规划专业 学生</v>
      </c>
      <c r="AC70" s="2" t="str">
        <f>"城建规划类"</f>
        <v>城建规划类</v>
      </c>
      <c r="AD70" s="2" t="str">
        <f>""</f>
        <v/>
      </c>
      <c r="AE70" s="4">
        <v>43431.635729166665</v>
      </c>
      <c r="AF70" s="2">
        <v>1</v>
      </c>
      <c r="AG70" s="2">
        <v>1</v>
      </c>
      <c r="AH70" s="2">
        <v>1</v>
      </c>
      <c r="AI70" s="2" t="str">
        <f>"18002022116"</f>
        <v>18002022116</v>
      </c>
      <c r="AJ70" s="2">
        <v>21</v>
      </c>
      <c r="AK70" s="2">
        <v>16</v>
      </c>
      <c r="AL70" s="2" t="s">
        <v>42</v>
      </c>
      <c r="AM70" s="2" t="s">
        <v>43</v>
      </c>
      <c r="AN70" s="2">
        <v>2</v>
      </c>
      <c r="AO70" s="2">
        <v>4364</v>
      </c>
      <c r="AP70" s="2" t="s">
        <v>275</v>
      </c>
      <c r="AQ70" s="2"/>
      <c r="AR70" s="2" t="s">
        <v>330</v>
      </c>
      <c r="AS70" s="3" t="s">
        <v>331</v>
      </c>
      <c r="AT70" s="2" t="s">
        <v>117</v>
      </c>
      <c r="AU70" s="2" t="s">
        <v>117</v>
      </c>
      <c r="AV70" s="7">
        <v>54.95</v>
      </c>
      <c r="AW70" s="2">
        <v>3</v>
      </c>
      <c r="AX70" s="2"/>
      <c r="AY70" s="2"/>
    </row>
    <row r="71" spans="1:51" ht="18.75" customHeight="1">
      <c r="A71" t="str">
        <f>"1002201811270948513299"</f>
        <v>1002201811270948513299</v>
      </c>
      <c r="B71" s="9">
        <v>69</v>
      </c>
      <c r="C71" s="2" t="s">
        <v>277</v>
      </c>
      <c r="D71" s="2" t="str">
        <f>"邓曌瑾"</f>
        <v>邓曌瑾</v>
      </c>
      <c r="E71" s="2" t="str">
        <f>"女"</f>
        <v>女</v>
      </c>
      <c r="F71" s="2" t="str">
        <f>"1994-08-12"</f>
        <v>1994-08-12</v>
      </c>
      <c r="G71" s="2" t="str">
        <f>"320682199408128968"</f>
        <v>320682199408128968</v>
      </c>
      <c r="H71" s="2" t="str">
        <f>"江苏如皋"</f>
        <v>江苏如皋</v>
      </c>
      <c r="I71" s="2" t="str">
        <f t="shared" ref="I71:I75" si="47">"非应届生"</f>
        <v>非应届生</v>
      </c>
      <c r="J71" s="2" t="str">
        <f t="shared" si="42"/>
        <v>无</v>
      </c>
      <c r="K71" s="2" t="str">
        <f>"2016.06"</f>
        <v>2016.06</v>
      </c>
      <c r="L71" s="2" t="str">
        <f t="shared" si="45"/>
        <v>学士</v>
      </c>
      <c r="M71" s="2" t="str">
        <f>"南京师范大学中北学院"</f>
        <v>南京师范大学中北学院</v>
      </c>
      <c r="N71" s="2" t="str">
        <f>"新闻学"</f>
        <v>新闻学</v>
      </c>
      <c r="O71" s="2" t="str">
        <f t="shared" si="46"/>
        <v>本科</v>
      </c>
      <c r="P71" s="2" t="str">
        <f>"163"</f>
        <v>163</v>
      </c>
      <c r="Q71" s="2" t="str">
        <f>"如皋市供电公司办公室"</f>
        <v>如皋市供电公司办公室</v>
      </c>
      <c r="R71" s="2" t="str">
        <f>"2016.07"</f>
        <v>2016.07</v>
      </c>
      <c r="S71" s="2" t="str">
        <f>"如皋市如城街道金地城邦6栋401室"</f>
        <v>如皋市如城街道金地城邦6栋401室</v>
      </c>
      <c r="T71" s="2" t="str">
        <f>"226500"</f>
        <v>226500</v>
      </c>
      <c r="U71" s="2" t="str">
        <f>"无"</f>
        <v>无</v>
      </c>
      <c r="V71" s="2" t="str">
        <f>"13584638866"</f>
        <v>13584638866</v>
      </c>
      <c r="W71" s="2" t="str">
        <f>"二级甲等"</f>
        <v>二级甲等</v>
      </c>
      <c r="X71" s="2" t="str">
        <f t="shared" si="26"/>
        <v>否</v>
      </c>
      <c r="Y71" s="2" t="str">
        <f>"六级"</f>
        <v>六级</v>
      </c>
      <c r="Z71" s="2" t="str">
        <f>"计算机一级"</f>
        <v>计算机一级</v>
      </c>
      <c r="AA71" s="2" t="str">
        <f>"父亲|邓和田|个体||||母亲|丁佐兰|个体|||"</f>
        <v>父亲|邓和田|个体||||母亲|丁佐兰|个体|||</v>
      </c>
      <c r="AB71" s="2" t="str">
        <f>"2009.09-2012.06 如皋市第一中学 学生_x000D_
2012.09-2016.06 南京师范大学中北学院人文系新闻学专业 学生_x000D_
2016.07至2017.07南京筑慧宝信息科技有限公司 职员"</f>
        <v>2009.09-2012.06 如皋市第一中学 学生_x000D_
2012.09-2016.06 南京师范大学中北学院人文系新闻学专业 学生_x000D_
2016.07至2017.07南京筑慧宝信息科技有限公司 职员</v>
      </c>
      <c r="AC71" s="2" t="str">
        <f t="shared" ref="AC71:AC86" si="48">"无"</f>
        <v>无</v>
      </c>
      <c r="AD71" s="2" t="str">
        <f>""</f>
        <v/>
      </c>
      <c r="AE71" s="4">
        <v>43431.426701388889</v>
      </c>
      <c r="AF71" s="2">
        <v>1</v>
      </c>
      <c r="AG71" s="2">
        <v>1</v>
      </c>
      <c r="AH71" s="2">
        <v>1</v>
      </c>
      <c r="AI71" s="2" t="str">
        <f>"18002022219"</f>
        <v>18002022219</v>
      </c>
      <c r="AJ71" s="2">
        <v>22</v>
      </c>
      <c r="AK71" s="2">
        <v>19</v>
      </c>
      <c r="AL71" s="2" t="s">
        <v>42</v>
      </c>
      <c r="AM71" s="2" t="s">
        <v>43</v>
      </c>
      <c r="AN71" s="2">
        <v>2</v>
      </c>
      <c r="AO71" s="2">
        <v>5799</v>
      </c>
      <c r="AP71" s="2" t="s">
        <v>244</v>
      </c>
      <c r="AQ71" s="2"/>
      <c r="AR71" s="2" t="s">
        <v>330</v>
      </c>
      <c r="AS71" s="3" t="s">
        <v>331</v>
      </c>
      <c r="AT71" s="2" t="s">
        <v>117</v>
      </c>
      <c r="AU71" s="2" t="s">
        <v>117</v>
      </c>
      <c r="AV71" s="7">
        <v>72.25</v>
      </c>
      <c r="AW71" s="2">
        <v>1</v>
      </c>
      <c r="AX71" s="2"/>
      <c r="AY71" s="2"/>
    </row>
    <row r="72" spans="1:51" ht="18.75" customHeight="1">
      <c r="A72" t="str">
        <f>"1002201811261055051114"</f>
        <v>1002201811261055051114</v>
      </c>
      <c r="B72" s="9">
        <v>70</v>
      </c>
      <c r="C72" s="2" t="s">
        <v>277</v>
      </c>
      <c r="D72" s="2" t="str">
        <f>"张笑月"</f>
        <v>张笑月</v>
      </c>
      <c r="E72" s="2" t="str">
        <f>"女"</f>
        <v>女</v>
      </c>
      <c r="F72" s="2" t="str">
        <f>"1990-05-22"</f>
        <v>1990-05-22</v>
      </c>
      <c r="G72" s="2" t="str">
        <f>"320683199005223027"</f>
        <v>320683199005223027</v>
      </c>
      <c r="H72" s="2" t="str">
        <f>"江苏省南通市通州区十总镇柏树墩村"</f>
        <v>江苏省南通市通州区十总镇柏树墩村</v>
      </c>
      <c r="I72" s="2" t="str">
        <f t="shared" si="47"/>
        <v>非应届生</v>
      </c>
      <c r="J72" s="2" t="str">
        <f t="shared" si="42"/>
        <v>无</v>
      </c>
      <c r="K72" s="2" t="str">
        <f>"2013.06"</f>
        <v>2013.06</v>
      </c>
      <c r="L72" s="2" t="str">
        <f t="shared" si="45"/>
        <v>学士</v>
      </c>
      <c r="M72" s="2" t="str">
        <f>"常州工学院"</f>
        <v>常州工学院</v>
      </c>
      <c r="N72" s="2" t="str">
        <f>"汉语言文学（高级文秘）"</f>
        <v>汉语言文学（高级文秘）</v>
      </c>
      <c r="O72" s="2" t="str">
        <f t="shared" si="46"/>
        <v>本科</v>
      </c>
      <c r="P72" s="2" t="str">
        <f>"165"</f>
        <v>165</v>
      </c>
      <c r="Q72" s="2" t="str">
        <f>"通州区宏达劳务有限公司"</f>
        <v>通州区宏达劳务有限公司</v>
      </c>
      <c r="R72" s="2" t="str">
        <f>"2013.12"</f>
        <v>2013.12</v>
      </c>
      <c r="S72" s="2" t="str">
        <f>"江苏省南通市通州区十总镇人民政府"</f>
        <v>江苏省南通市通州区十总镇人民政府</v>
      </c>
      <c r="T72" s="2" t="str">
        <f>"226341"</f>
        <v>226341</v>
      </c>
      <c r="U72" s="2" t="str">
        <f>"68655592"</f>
        <v>68655592</v>
      </c>
      <c r="V72" s="2" t="str">
        <f>"17851679168"</f>
        <v>17851679168</v>
      </c>
      <c r="W72" s="2" t="str">
        <f>"二级乙等"</f>
        <v>二级乙等</v>
      </c>
      <c r="X72" s="2" t="str">
        <f t="shared" si="26"/>
        <v>否</v>
      </c>
      <c r="Y72" s="2" t="str">
        <f>"英语四级"</f>
        <v>英语四级</v>
      </c>
      <c r="Z72" s="2" t="str">
        <f>"计算机二级"</f>
        <v>计算机二级</v>
      </c>
      <c r="AA72" s="2" t="str">
        <f>"母女|曹苏平|无|父女|张学亮|无||||||"</f>
        <v>母女|曹苏平|无|父女|张学亮|无||||||</v>
      </c>
      <c r="AB72" s="2" t="str">
        <f>"2006.09-2009.06  江苏省西亭高级中学 学生_x000D_
2009.09-2013.06  常州工学院 学生_x000D_
2013.12至今  通州区宏达劳务有限公司  劳保协理员"</f>
        <v>2006.09-2009.06  江苏省西亭高级中学 学生_x000D_
2009.09-2013.06  常州工学院 学生_x000D_
2013.12至今  通州区宏达劳务有限公司  劳保协理员</v>
      </c>
      <c r="AC72" s="2" t="str">
        <f t="shared" si="48"/>
        <v>无</v>
      </c>
      <c r="AD72" s="2" t="str">
        <f>""</f>
        <v/>
      </c>
      <c r="AE72" s="4">
        <v>43434.61215277778</v>
      </c>
      <c r="AF72" s="2">
        <v>1</v>
      </c>
      <c r="AG72" s="2">
        <v>1</v>
      </c>
      <c r="AH72" s="2">
        <v>1</v>
      </c>
      <c r="AI72" s="2" t="str">
        <f>"18002022230"</f>
        <v>18002022230</v>
      </c>
      <c r="AJ72" s="2">
        <v>22</v>
      </c>
      <c r="AK72" s="2">
        <v>30</v>
      </c>
      <c r="AL72" s="2" t="s">
        <v>42</v>
      </c>
      <c r="AM72" s="2" t="s">
        <v>43</v>
      </c>
      <c r="AN72" s="2">
        <v>2</v>
      </c>
      <c r="AO72" s="2">
        <v>8345</v>
      </c>
      <c r="AP72" s="2" t="s">
        <v>156</v>
      </c>
      <c r="AQ72" s="2"/>
      <c r="AR72" s="2" t="s">
        <v>330</v>
      </c>
      <c r="AS72" s="3" t="s">
        <v>331</v>
      </c>
      <c r="AT72" s="2" t="s">
        <v>117</v>
      </c>
      <c r="AU72" s="2" t="s">
        <v>117</v>
      </c>
      <c r="AV72" s="7">
        <v>71.5</v>
      </c>
      <c r="AW72" s="2">
        <v>2</v>
      </c>
      <c r="AX72" s="2"/>
      <c r="AY72" s="2"/>
    </row>
    <row r="73" spans="1:51" ht="18.75" customHeight="1">
      <c r="A73" t="str">
        <f>"1002201811290938495569"</f>
        <v>1002201811290938495569</v>
      </c>
      <c r="B73" s="9">
        <v>71</v>
      </c>
      <c r="C73" s="2" t="s">
        <v>277</v>
      </c>
      <c r="D73" s="2" t="str">
        <f>"张庆飞"</f>
        <v>张庆飞</v>
      </c>
      <c r="E73" s="2" t="str">
        <f>"男"</f>
        <v>男</v>
      </c>
      <c r="F73" s="2" t="str">
        <f>"1995-04-13"</f>
        <v>1995-04-13</v>
      </c>
      <c r="G73" s="2" t="str">
        <f>"321283199504130633"</f>
        <v>321283199504130633</v>
      </c>
      <c r="H73" s="2" t="str">
        <f>"泰兴市分界镇张厂村"</f>
        <v>泰兴市分界镇张厂村</v>
      </c>
      <c r="I73" s="2" t="str">
        <f t="shared" si="47"/>
        <v>非应届生</v>
      </c>
      <c r="J73" s="2" t="str">
        <f t="shared" si="42"/>
        <v>无</v>
      </c>
      <c r="K73" s="2" t="str">
        <f>"2017.6"</f>
        <v>2017.6</v>
      </c>
      <c r="L73" s="2" t="str">
        <f t="shared" si="45"/>
        <v>学士</v>
      </c>
      <c r="M73" s="2" t="str">
        <f>"苏州科技大学"</f>
        <v>苏州科技大学</v>
      </c>
      <c r="N73" s="2" t="str">
        <f>"汉语国际教育"</f>
        <v>汉语国际教育</v>
      </c>
      <c r="O73" s="2" t="str">
        <f t="shared" si="46"/>
        <v>本科</v>
      </c>
      <c r="P73" s="2" t="str">
        <f>"167"</f>
        <v>167</v>
      </c>
      <c r="Q73" s="2" t="str">
        <f>"如皋市城市管理综合执法大队"</f>
        <v>如皋市城市管理综合执法大队</v>
      </c>
      <c r="R73" s="2" t="str">
        <f>"2017.7"</f>
        <v>2017.7</v>
      </c>
      <c r="S73" s="2" t="str">
        <f>"如皋市如城街道奥体新城3栋503"</f>
        <v>如皋市如城街道奥体新城3栋503</v>
      </c>
      <c r="T73" s="2" t="str">
        <f>"226500"</f>
        <v>226500</v>
      </c>
      <c r="U73" s="2" t="str">
        <f>"0523-87172002"</f>
        <v>0523-87172002</v>
      </c>
      <c r="V73" s="2" t="str">
        <f>"18860916791"</f>
        <v>18860916791</v>
      </c>
      <c r="W73" s="2" t="str">
        <f>"二级乙等"</f>
        <v>二级乙等</v>
      </c>
      <c r="X73" s="2" t="str">
        <f t="shared" si="26"/>
        <v>否</v>
      </c>
      <c r="Y73" s="2" t="str">
        <f>"英语四级"</f>
        <v>英语四级</v>
      </c>
      <c r="Z73" s="2" t="str">
        <f>"熟练"</f>
        <v>熟练</v>
      </c>
      <c r="AA73" s="2" t="str">
        <f>"父亲|张友昌|泰兴市五金加工厂|母亲|朱志兰|泰兴市博阳服饰厂||||||"</f>
        <v>父亲|张友昌|泰兴市五金加工厂|母亲|朱志兰|泰兴市博阳服饰厂||||||</v>
      </c>
      <c r="AB73" s="2" t="str">
        <f>"2010.09-2013.06泰兴市第四高级中学 学生_x000D_
2013.09-2017.06苏州科技大学人文学院汉语国际教育专业 学生_x000D_
2017.07至今 如皋市城市管理综合执法大队 职员"</f>
        <v>2010.09-2013.06泰兴市第四高级中学 学生_x000D_
2013.09-2017.06苏州科技大学人文学院汉语国际教育专业 学生_x000D_
2017.07至今 如皋市城市管理综合执法大队 职员</v>
      </c>
      <c r="AC73" s="2" t="str">
        <f t="shared" si="48"/>
        <v>无</v>
      </c>
      <c r="AD73" s="2" t="str">
        <f>""</f>
        <v/>
      </c>
      <c r="AE73" s="4">
        <v>43433.496030092596</v>
      </c>
      <c r="AF73" s="2">
        <v>1</v>
      </c>
      <c r="AG73" s="2">
        <v>1</v>
      </c>
      <c r="AH73" s="2">
        <v>2</v>
      </c>
      <c r="AI73" s="2" t="str">
        <f>"18002022128"</f>
        <v>18002022128</v>
      </c>
      <c r="AJ73" s="2">
        <v>21</v>
      </c>
      <c r="AK73" s="2">
        <v>28</v>
      </c>
      <c r="AL73" s="2" t="s">
        <v>42</v>
      </c>
      <c r="AM73" s="2" t="s">
        <v>43</v>
      </c>
      <c r="AN73" s="2">
        <v>2</v>
      </c>
      <c r="AO73" s="2">
        <v>1408</v>
      </c>
      <c r="AP73" s="2" t="s">
        <v>278</v>
      </c>
      <c r="AQ73" s="2"/>
      <c r="AR73" s="2" t="s">
        <v>330</v>
      </c>
      <c r="AS73" s="3" t="s">
        <v>331</v>
      </c>
      <c r="AT73" s="2" t="s">
        <v>117</v>
      </c>
      <c r="AU73" s="2" t="s">
        <v>117</v>
      </c>
      <c r="AV73" s="7">
        <v>71.45</v>
      </c>
      <c r="AW73" s="2">
        <v>3</v>
      </c>
      <c r="AX73" s="2"/>
      <c r="AY73" s="2"/>
    </row>
    <row r="74" spans="1:51" ht="18.75" customHeight="1">
      <c r="A74" t="str">
        <f>"1002201811301530567167"</f>
        <v>1002201811301530567167</v>
      </c>
      <c r="B74" s="9">
        <v>72</v>
      </c>
      <c r="C74" s="2" t="s">
        <v>279</v>
      </c>
      <c r="D74" s="2" t="str">
        <f>"丁阳梅"</f>
        <v>丁阳梅</v>
      </c>
      <c r="E74" s="2" t="str">
        <f>"女"</f>
        <v>女</v>
      </c>
      <c r="F74" s="2" t="str">
        <f>"1988-10-19"</f>
        <v>1988-10-19</v>
      </c>
      <c r="G74" s="2" t="str">
        <f>"320682198810196542"</f>
        <v>320682198810196542</v>
      </c>
      <c r="H74" s="2" t="str">
        <f>"江苏如皋"</f>
        <v>江苏如皋</v>
      </c>
      <c r="I74" s="2" t="str">
        <f t="shared" si="47"/>
        <v>非应届生</v>
      </c>
      <c r="J74" s="2" t="str">
        <f>"工程师"</f>
        <v>工程师</v>
      </c>
      <c r="K74" s="2" t="str">
        <f>"2013.6"</f>
        <v>2013.6</v>
      </c>
      <c r="L74" s="2" t="str">
        <f>"研究生"</f>
        <v>研究生</v>
      </c>
      <c r="M74" s="2" t="str">
        <f>"河海大学"</f>
        <v>河海大学</v>
      </c>
      <c r="N74" s="2" t="str">
        <f>"水文学及水资源"</f>
        <v>水文学及水资源</v>
      </c>
      <c r="O74" s="2" t="str">
        <f>"硕士"</f>
        <v>硕士</v>
      </c>
      <c r="P74" s="2" t="str">
        <f>"165"</f>
        <v>165</v>
      </c>
      <c r="Q74" s="2" t="str">
        <f>"南通市通州区滨江新区管理委员会"</f>
        <v>南通市通州区滨江新区管理委员会</v>
      </c>
      <c r="R74" s="2" t="str">
        <f>"2013.8"</f>
        <v>2013.8</v>
      </c>
      <c r="S74" s="2" t="str">
        <f>"江苏省南通市通州区五接镇人民政府"</f>
        <v>江苏省南通市通州区五接镇人民政府</v>
      </c>
      <c r="T74" s="2" t="str">
        <f>"226300"</f>
        <v>226300</v>
      </c>
      <c r="U74" s="2" t="str">
        <f>"051368385863"</f>
        <v>051368385863</v>
      </c>
      <c r="V74" s="2" t="str">
        <f>"15106279255"</f>
        <v>15106279255</v>
      </c>
      <c r="W74" s="2" t="str">
        <f>"无"</f>
        <v>无</v>
      </c>
      <c r="X74" s="2" t="str">
        <f t="shared" si="26"/>
        <v>否</v>
      </c>
      <c r="Y74" s="2" t="str">
        <f>"英语六级"</f>
        <v>英语六级</v>
      </c>
      <c r="Z74" s="2" t="str">
        <f>"江苏省计算机二级"</f>
        <v>江苏省计算机二级</v>
      </c>
      <c r="AA74" s="2" t="str">
        <f>"父亲|丁佐策|惠乐皮革厂|母亲|谢仁凤|务农|丈夫|许文平|思杰系统信息技术(北京)有限公司南京分公司|||"</f>
        <v>父亲|丁佐策|惠乐皮革厂|母亲|谢仁凤|务农|丈夫|许文平|思杰系统信息技术(北京)有限公司南京分公司|||</v>
      </c>
      <c r="AB74" s="2" t="str">
        <f>"2003.9-2006.6 白蒲中学 学生_x000D_
2006.9-2010.6 河海大学 学生_x000D_
2010.9-2013.6 河海大学 学生_x000D_
2013.8至今 南通市通州区滨江新区管委会"</f>
        <v>2003.9-2006.6 白蒲中学 学生_x000D_
2006.9-2010.6 河海大学 学生_x000D_
2010.9-2013.6 河海大学 学生_x000D_
2013.8至今 南通市通州区滨江新区管委会</v>
      </c>
      <c r="AC74" s="2" t="str">
        <f t="shared" si="48"/>
        <v>无</v>
      </c>
      <c r="AD74" s="2" t="str">
        <f>""</f>
        <v/>
      </c>
      <c r="AE74" s="4">
        <v>43434.659062500003</v>
      </c>
      <c r="AF74" s="2">
        <v>1</v>
      </c>
      <c r="AG74" s="2">
        <v>1</v>
      </c>
      <c r="AH74" s="2">
        <v>2</v>
      </c>
      <c r="AI74" s="2" t="str">
        <f>"18002022314"</f>
        <v>18002022314</v>
      </c>
      <c r="AJ74" s="2">
        <v>23</v>
      </c>
      <c r="AK74" s="2">
        <v>14</v>
      </c>
      <c r="AL74" s="2" t="s">
        <v>42</v>
      </c>
      <c r="AM74" s="2" t="s">
        <v>43</v>
      </c>
      <c r="AN74" s="2">
        <v>2</v>
      </c>
      <c r="AO74" s="2">
        <v>1626</v>
      </c>
      <c r="AP74" s="2" t="s">
        <v>149</v>
      </c>
      <c r="AQ74" s="2"/>
      <c r="AR74" s="2" t="s">
        <v>330</v>
      </c>
      <c r="AS74" s="3" t="s">
        <v>331</v>
      </c>
      <c r="AT74" s="2" t="s">
        <v>117</v>
      </c>
      <c r="AU74" s="2" t="s">
        <v>117</v>
      </c>
      <c r="AV74" s="7">
        <v>69.5</v>
      </c>
      <c r="AW74" s="2">
        <v>1</v>
      </c>
      <c r="AX74" s="2"/>
      <c r="AY74" s="2"/>
    </row>
    <row r="75" spans="1:51" ht="18.75" customHeight="1">
      <c r="A75" t="str">
        <f>"1002201811261142071345"</f>
        <v>1002201811261142071345</v>
      </c>
      <c r="B75" s="9">
        <v>73</v>
      </c>
      <c r="C75" s="2" t="s">
        <v>279</v>
      </c>
      <c r="D75" s="2" t="str">
        <f>"张建"</f>
        <v>张建</v>
      </c>
      <c r="E75" s="2" t="str">
        <f>"男"</f>
        <v>男</v>
      </c>
      <c r="F75" s="2" t="str">
        <f>"1991-08-16"</f>
        <v>1991-08-16</v>
      </c>
      <c r="G75" s="2" t="str">
        <f>"320682199108166954"</f>
        <v>320682199108166954</v>
      </c>
      <c r="H75" s="2" t="str">
        <f>"江苏如皋"</f>
        <v>江苏如皋</v>
      </c>
      <c r="I75" s="2" t="str">
        <f t="shared" si="47"/>
        <v>非应届生</v>
      </c>
      <c r="J75" s="2" t="str">
        <f>"助理工程师"</f>
        <v>助理工程师</v>
      </c>
      <c r="K75" s="2" t="str">
        <f>"2016.06"</f>
        <v>2016.06</v>
      </c>
      <c r="L75" s="2" t="str">
        <f t="shared" ref="L75:L102" si="49">"学士"</f>
        <v>学士</v>
      </c>
      <c r="M75" s="2" t="str">
        <f>"江苏科技大学"</f>
        <v>江苏科技大学</v>
      </c>
      <c r="N75" s="2" t="str">
        <f>"港口航道与海岸工程"</f>
        <v>港口航道与海岸工程</v>
      </c>
      <c r="O75" s="2" t="str">
        <f t="shared" ref="O75:O138" si="50">"本科"</f>
        <v>本科</v>
      </c>
      <c r="P75" s="2" t="str">
        <f>"165"</f>
        <v>165</v>
      </c>
      <c r="Q75" s="2" t="str">
        <f>"如东县东安新闸管理所"</f>
        <v>如东县东安新闸管理所</v>
      </c>
      <c r="R75" s="2" t="str">
        <f>"2014.07"</f>
        <v>2014.07</v>
      </c>
      <c r="S75" s="2" t="str">
        <f>"江苏省如皋市吴窑镇龙河村16组"</f>
        <v>江苏省如皋市吴窑镇龙河村16组</v>
      </c>
      <c r="T75" s="2" t="str">
        <f>"226533"</f>
        <v>226533</v>
      </c>
      <c r="U75" s="2" t="str">
        <f>"15251316184"</f>
        <v>15251316184</v>
      </c>
      <c r="V75" s="2" t="str">
        <f>"18068105528"</f>
        <v>18068105528</v>
      </c>
      <c r="W75" s="2" t="str">
        <f>"无"</f>
        <v>无</v>
      </c>
      <c r="X75" s="2" t="str">
        <f t="shared" si="26"/>
        <v>否</v>
      </c>
      <c r="Y75" s="2" t="str">
        <f>"英语四级"</f>
        <v>英语四级</v>
      </c>
      <c r="Z75" s="2" t="str">
        <f>"计算机二级"</f>
        <v>计算机二级</v>
      </c>
      <c r="AA75" s="2" t="str">
        <f>"父亲|张文祥|江苏江中集团有限公司|母亲|薛明如|无|妻子|翟园园|冠诚（北京）信息咨询服务有限公司南通分公司|儿子|张煜晨|无"</f>
        <v>父亲|张文祥|江苏江中集团有限公司|母亲|薛明如|无|妻子|翟园园|冠诚（北京）信息咨询服务有限公司南通分公司|儿子|张煜晨|无</v>
      </c>
      <c r="AB75" s="2" t="str">
        <f>"2007.09-2010.06 江苏省白蒲高级中学 学生_x000D_
2010.09-2014.06 江苏科技大学船舶与海洋工程学院港口航道与海岸工程专业 学生_x000D_
2014.07-2017.04 南京源信通讯科技有限公司 职员_x000D_
2017.05至今     如东县东安新闸管理所     职员"</f>
        <v>2007.09-2010.06 江苏省白蒲高级中学 学生_x000D_
2010.09-2014.06 江苏科技大学船舶与海洋工程学院港口航道与海岸工程专业 学生_x000D_
2014.07-2017.04 南京源信通讯科技有限公司 职员_x000D_
2017.05至今     如东县东安新闸管理所     职员</v>
      </c>
      <c r="AC75" s="2" t="str">
        <f t="shared" si="48"/>
        <v>无</v>
      </c>
      <c r="AD75" s="2" t="str">
        <f>"无"</f>
        <v>无</v>
      </c>
      <c r="AE75" s="4">
        <v>43430.640775462962</v>
      </c>
      <c r="AF75" s="2">
        <v>1</v>
      </c>
      <c r="AG75" s="2">
        <v>1</v>
      </c>
      <c r="AH75" s="2">
        <v>2</v>
      </c>
      <c r="AI75" s="2" t="str">
        <f>"18002022322"</f>
        <v>18002022322</v>
      </c>
      <c r="AJ75" s="2">
        <v>23</v>
      </c>
      <c r="AK75" s="2">
        <v>22</v>
      </c>
      <c r="AL75" s="2" t="s">
        <v>42</v>
      </c>
      <c r="AM75" s="2" t="s">
        <v>43</v>
      </c>
      <c r="AN75" s="2">
        <v>2</v>
      </c>
      <c r="AO75" s="2">
        <v>5872</v>
      </c>
      <c r="AP75" s="2" t="s">
        <v>280</v>
      </c>
      <c r="AQ75" s="2"/>
      <c r="AR75" s="2" t="s">
        <v>330</v>
      </c>
      <c r="AS75" s="3" t="s">
        <v>331</v>
      </c>
      <c r="AT75" s="2" t="s">
        <v>117</v>
      </c>
      <c r="AU75" s="2" t="s">
        <v>117</v>
      </c>
      <c r="AV75" s="7">
        <v>65</v>
      </c>
      <c r="AW75" s="2">
        <v>2</v>
      </c>
      <c r="AX75" s="2"/>
      <c r="AY75" s="2"/>
    </row>
    <row r="76" spans="1:51" ht="18.75" customHeight="1">
      <c r="A76" t="str">
        <f>"1002201811300023346595"</f>
        <v>1002201811300023346595</v>
      </c>
      <c r="B76" s="9">
        <v>74</v>
      </c>
      <c r="C76" s="2" t="s">
        <v>279</v>
      </c>
      <c r="D76" s="2" t="str">
        <f>"卫磊磊"</f>
        <v>卫磊磊</v>
      </c>
      <c r="E76" s="2" t="str">
        <f>"男"</f>
        <v>男</v>
      </c>
      <c r="F76" s="2" t="str">
        <f>"1995-05-06"</f>
        <v>1995-05-06</v>
      </c>
      <c r="G76" s="2" t="str">
        <f>"320683199505066558"</f>
        <v>320683199505066558</v>
      </c>
      <c r="H76" s="2" t="str">
        <f>"江苏南通通州"</f>
        <v>江苏南通通州</v>
      </c>
      <c r="I76" s="2" t="str">
        <f>"应届生"</f>
        <v>应届生</v>
      </c>
      <c r="J76" s="2" t="str">
        <f>"无"</f>
        <v>无</v>
      </c>
      <c r="K76" s="2" t="str">
        <f>"2018.9"</f>
        <v>2018.9</v>
      </c>
      <c r="L76" s="2" t="str">
        <f t="shared" si="49"/>
        <v>学士</v>
      </c>
      <c r="M76" s="2" t="str">
        <f>"河海大学文天学院"</f>
        <v>河海大学文天学院</v>
      </c>
      <c r="N76" s="2" t="str">
        <f>"水利水电工程"</f>
        <v>水利水电工程</v>
      </c>
      <c r="O76" s="2" t="str">
        <f t="shared" si="50"/>
        <v>本科</v>
      </c>
      <c r="P76" s="2" t="str">
        <f>"169"</f>
        <v>169</v>
      </c>
      <c r="Q76" s="2" t="str">
        <f>"无"</f>
        <v>无</v>
      </c>
      <c r="R76" s="2" t="str">
        <f>"无"</f>
        <v>无</v>
      </c>
      <c r="S76" s="2" t="str">
        <f>"江苏省南通市通州区平东镇新三十里居110号"</f>
        <v>江苏省南通市通州区平东镇新三十里居110号</v>
      </c>
      <c r="T76" s="2" t="str">
        <f>"226361"</f>
        <v>226361</v>
      </c>
      <c r="U76" s="2" t="str">
        <f>"86792901"</f>
        <v>86792901</v>
      </c>
      <c r="V76" s="2" t="str">
        <f>"18015235701"</f>
        <v>18015235701</v>
      </c>
      <c r="W76" s="2" t="str">
        <f>"无"</f>
        <v>无</v>
      </c>
      <c r="X76" s="2" t="str">
        <f t="shared" si="26"/>
        <v>否</v>
      </c>
      <c r="Y76" s="2" t="str">
        <f>"四级206分"</f>
        <v>四级206分</v>
      </c>
      <c r="Z76" s="2" t="str">
        <f>"熟练掌握办公软件，CAD等"</f>
        <v>熟练掌握办公软件，CAD等</v>
      </c>
      <c r="AA76" s="2" t="str">
        <f>"父亲|卫建新|工人|母亲|陈本杰|工人||||||"</f>
        <v>父亲|卫建新|工人|母亲|陈本杰|工人||||||</v>
      </c>
      <c r="AB76" s="2" t="str">
        <f>"2011.09-2014.06 江苏省平潮高级中学 学生_x000D_
2014.09-2018.06 河海大学文天学院水利水电专业 学生_x000D_
"</f>
        <v xml:space="preserve">2011.09-2014.06 江苏省平潮高级中学 学生_x000D_
2014.09-2018.06 河海大学文天学院水利水电专业 学生_x000D_
</v>
      </c>
      <c r="AC76" s="2" t="str">
        <f t="shared" si="48"/>
        <v>无</v>
      </c>
      <c r="AD76" s="2" t="str">
        <f>""</f>
        <v/>
      </c>
      <c r="AE76" s="4">
        <v>43434.518796296295</v>
      </c>
      <c r="AF76" s="2">
        <v>1</v>
      </c>
      <c r="AG76" s="2">
        <v>1</v>
      </c>
      <c r="AH76" s="2">
        <v>2</v>
      </c>
      <c r="AI76" s="2" t="str">
        <f>"18002022328"</f>
        <v>18002022328</v>
      </c>
      <c r="AJ76" s="2">
        <v>23</v>
      </c>
      <c r="AK76" s="2">
        <v>28</v>
      </c>
      <c r="AL76" s="2" t="s">
        <v>42</v>
      </c>
      <c r="AM76" s="2" t="s">
        <v>43</v>
      </c>
      <c r="AN76" s="2">
        <v>2</v>
      </c>
      <c r="AO76" s="2">
        <v>8072</v>
      </c>
      <c r="AP76" s="2" t="s">
        <v>281</v>
      </c>
      <c r="AQ76" s="2"/>
      <c r="AR76" s="2" t="s">
        <v>330</v>
      </c>
      <c r="AS76" s="3" t="s">
        <v>331</v>
      </c>
      <c r="AT76" s="2" t="s">
        <v>117</v>
      </c>
      <c r="AU76" s="2" t="s">
        <v>117</v>
      </c>
      <c r="AV76" s="7">
        <v>62.45</v>
      </c>
      <c r="AW76" s="2">
        <v>3</v>
      </c>
      <c r="AX76" s="2"/>
      <c r="AY76" s="2"/>
    </row>
    <row r="77" spans="1:51" ht="18.75" customHeight="1">
      <c r="A77" t="str">
        <f>"1002201811261137051330"</f>
        <v>1002201811261137051330</v>
      </c>
      <c r="B77" s="9">
        <v>75</v>
      </c>
      <c r="C77" s="2" t="s">
        <v>282</v>
      </c>
      <c r="D77" s="2" t="str">
        <f>"曹俊奇"</f>
        <v>曹俊奇</v>
      </c>
      <c r="E77" s="2" t="str">
        <f t="shared" ref="E77:E83" si="51">"男"</f>
        <v>男</v>
      </c>
      <c r="F77" s="2" t="str">
        <f>"1995-01-05"</f>
        <v>1995-01-05</v>
      </c>
      <c r="G77" s="2" t="str">
        <f>"320681199501050230"</f>
        <v>320681199501050230</v>
      </c>
      <c r="H77" s="2" t="str">
        <f>"江苏省南通市启东市"</f>
        <v>江苏省南通市启东市</v>
      </c>
      <c r="I77" s="2" t="str">
        <f t="shared" ref="I77:I85" si="52">"非应届生"</f>
        <v>非应届生</v>
      </c>
      <c r="J77" s="2" t="str">
        <f t="shared" ref="J77:J82" si="53">"无"</f>
        <v>无</v>
      </c>
      <c r="K77" s="2" t="str">
        <f>"2016.6"</f>
        <v>2016.6</v>
      </c>
      <c r="L77" s="2" t="str">
        <f t="shared" si="49"/>
        <v>学士</v>
      </c>
      <c r="M77" s="2" t="str">
        <f>"江苏大学京江学院"</f>
        <v>江苏大学京江学院</v>
      </c>
      <c r="N77" s="2" t="str">
        <f>"机械电子工程"</f>
        <v>机械电子工程</v>
      </c>
      <c r="O77" s="2" t="str">
        <f t="shared" si="50"/>
        <v>本科</v>
      </c>
      <c r="P77" s="2" t="str">
        <f>"177"</f>
        <v>177</v>
      </c>
      <c r="Q77" s="2" t="str">
        <f>"吕四港镇西宁村经济合作社社长助理"</f>
        <v>吕四港镇西宁村经济合作社社长助理</v>
      </c>
      <c r="R77" s="2" t="str">
        <f>"2017.7"</f>
        <v>2017.7</v>
      </c>
      <c r="S77" s="2" t="str">
        <f>"江苏省南通市启东市吕四港镇来鹤路两侧拆迁安置区21号楼502"</f>
        <v>江苏省南通市启东市吕四港镇来鹤路两侧拆迁安置区21号楼502</v>
      </c>
      <c r="T77" s="2" t="str">
        <f>"226241"</f>
        <v>226241</v>
      </c>
      <c r="U77" s="2" t="str">
        <f>"无"</f>
        <v>无</v>
      </c>
      <c r="V77" s="2" t="str">
        <f>"13584656766"</f>
        <v>13584656766</v>
      </c>
      <c r="W77" s="2" t="str">
        <f>"无"</f>
        <v>无</v>
      </c>
      <c r="X77" s="2" t="str">
        <f t="shared" si="26"/>
        <v>否</v>
      </c>
      <c r="Y77" s="2" t="str">
        <f>"大学英语六级"</f>
        <v>大学英语六级</v>
      </c>
      <c r="Z77" s="2" t="str">
        <f>"国家计算机二级（VB）"</f>
        <v>国家计算机二级（VB）</v>
      </c>
      <c r="AA77" s="2" t="str">
        <f>"母亲|吴菊红|卓越电动工具公司|父亲|曹国华（已故）|||||||"</f>
        <v>母亲|吴菊红|卓越电动工具公司|父亲|曹国华（已故）|||||||</v>
      </c>
      <c r="AB77" s="2" t="str">
        <f>"2009.9-2012.6 启东市汇龙中学 学生_x000D_
2012.9-2016.6 江苏大学京江学院机械电子工程专业 学生_x000D_
2016.7-2017.7 待业备考_x000D_
2017.7-2017.12 启东市吕四港镇综合执法局工作（编外）_x000D_
2018.1-2018.8 待业备考_x000D_
2018.8至今 在吕四港镇西宁村经济合作社 担任社长助理"</f>
        <v>2009.9-2012.6 启东市汇龙中学 学生_x000D_
2012.9-2016.6 江苏大学京江学院机械电子工程专业 学生_x000D_
2016.7-2017.7 待业备考_x000D_
2017.7-2017.12 启东市吕四港镇综合执法局工作（编外）_x000D_
2018.1-2018.8 待业备考_x000D_
2018.8至今 在吕四港镇西宁村经济合作社 担任社长助理</v>
      </c>
      <c r="AC77" s="2" t="str">
        <f t="shared" si="48"/>
        <v>无</v>
      </c>
      <c r="AD77" s="2" t="str">
        <f>"无"</f>
        <v>无</v>
      </c>
      <c r="AE77" s="4">
        <v>43430.741643518515</v>
      </c>
      <c r="AF77" s="2">
        <v>1</v>
      </c>
      <c r="AG77" s="2">
        <v>1</v>
      </c>
      <c r="AH77" s="2">
        <v>2</v>
      </c>
      <c r="AI77" s="2" t="str">
        <f>"18002022415"</f>
        <v>18002022415</v>
      </c>
      <c r="AJ77" s="2">
        <v>24</v>
      </c>
      <c r="AK77" s="2">
        <v>15</v>
      </c>
      <c r="AL77" s="2" t="s">
        <v>42</v>
      </c>
      <c r="AM77" s="2" t="s">
        <v>43</v>
      </c>
      <c r="AN77" s="2">
        <v>2</v>
      </c>
      <c r="AO77" s="2">
        <v>919</v>
      </c>
      <c r="AP77" s="2" t="s">
        <v>283</v>
      </c>
      <c r="AQ77" s="2"/>
      <c r="AR77" s="2" t="s">
        <v>330</v>
      </c>
      <c r="AS77" s="3" t="s">
        <v>331</v>
      </c>
      <c r="AT77" s="2" t="s">
        <v>117</v>
      </c>
      <c r="AU77" s="2" t="s">
        <v>117</v>
      </c>
      <c r="AV77" s="7">
        <v>77.05</v>
      </c>
      <c r="AW77" s="2">
        <v>1</v>
      </c>
      <c r="AX77" s="2"/>
      <c r="AY77" s="2"/>
    </row>
    <row r="78" spans="1:51" ht="18.75" customHeight="1">
      <c r="A78" t="str">
        <f>"100220181126101015798"</f>
        <v>100220181126101015798</v>
      </c>
      <c r="B78" s="9">
        <v>76</v>
      </c>
      <c r="C78" s="2" t="s">
        <v>282</v>
      </c>
      <c r="D78" s="2" t="str">
        <f>"顾晶华"</f>
        <v>顾晶华</v>
      </c>
      <c r="E78" s="2" t="str">
        <f t="shared" si="51"/>
        <v>男</v>
      </c>
      <c r="F78" s="2" t="str">
        <f>"1989-03-02"</f>
        <v>1989-03-02</v>
      </c>
      <c r="G78" s="2" t="str">
        <f>"320684198903020012"</f>
        <v>320684198903020012</v>
      </c>
      <c r="H78" s="2" t="str">
        <f>"江苏南通"</f>
        <v>江苏南通</v>
      </c>
      <c r="I78" s="2" t="str">
        <f t="shared" si="52"/>
        <v>非应届生</v>
      </c>
      <c r="J78" s="2" t="str">
        <f t="shared" si="53"/>
        <v>无</v>
      </c>
      <c r="K78" s="2" t="str">
        <f>"2012.07"</f>
        <v>2012.07</v>
      </c>
      <c r="L78" s="2" t="str">
        <f t="shared" si="49"/>
        <v>学士</v>
      </c>
      <c r="M78" s="2" t="str">
        <f>"南京信息工程大学"</f>
        <v>南京信息工程大学</v>
      </c>
      <c r="N78" s="2" t="str">
        <f>"电气工程与自动化"</f>
        <v>电气工程与自动化</v>
      </c>
      <c r="O78" s="2" t="str">
        <f t="shared" si="50"/>
        <v>本科</v>
      </c>
      <c r="P78" s="2" t="str">
        <f>"175"</f>
        <v>175</v>
      </c>
      <c r="Q78" s="2" t="str">
        <f>"南通开发区星湖幼儿园"</f>
        <v>南通开发区星湖幼儿园</v>
      </c>
      <c r="R78" s="2" t="str">
        <f>"2012.07"</f>
        <v>2012.07</v>
      </c>
      <c r="S78" s="2" t="str">
        <f>"南通市崇川区万濠星城19幢503室"</f>
        <v>南通市崇川区万濠星城19幢503室</v>
      </c>
      <c r="T78" s="2" t="str">
        <f>"226000"</f>
        <v>226000</v>
      </c>
      <c r="U78" s="2" t="str">
        <f>"无"</f>
        <v>无</v>
      </c>
      <c r="V78" s="2" t="str">
        <f>"15962754276"</f>
        <v>15962754276</v>
      </c>
      <c r="W78" s="2" t="str">
        <f>"二级甲等"</f>
        <v>二级甲等</v>
      </c>
      <c r="X78" s="2" t="str">
        <f t="shared" si="26"/>
        <v>否</v>
      </c>
      <c r="Y78" s="2" t="str">
        <f>"大学英语四级"</f>
        <v>大学英语四级</v>
      </c>
      <c r="Z78" s="2" t="str">
        <f>"全国计算机二级"</f>
        <v>全国计算机二级</v>
      </c>
      <c r="AA78" s="2" t="str">
        <f>"父亲|顾新贤|上海景江集团|母亲|包淑萍|海门供销大厦||||||"</f>
        <v>父亲|顾新贤|上海景江集团|母亲|包淑萍|海门供销大厦||||||</v>
      </c>
      <c r="AB78" s="2" t="str">
        <f>"2005.09-2008.06 海门市三厂中学 学生_x000D_
2008.09-2012.06 南京信息工程大学 学生_x000D_
2012.07-2017.10 中国建设银行南通分行 职员_x000D_
2017.11至今 南通开发区星湖幼儿园 职员"</f>
        <v>2005.09-2008.06 海门市三厂中学 学生_x000D_
2008.09-2012.06 南京信息工程大学 学生_x000D_
2012.07-2017.10 中国建设银行南通分行 职员_x000D_
2017.11至今 南通开发区星湖幼儿园 职员</v>
      </c>
      <c r="AC78" s="2" t="str">
        <f t="shared" si="48"/>
        <v>无</v>
      </c>
      <c r="AD78" s="2" t="str">
        <f>""</f>
        <v/>
      </c>
      <c r="AE78" s="4">
        <v>43430.625335648147</v>
      </c>
      <c r="AF78" s="2">
        <v>1</v>
      </c>
      <c r="AG78" s="2">
        <v>1</v>
      </c>
      <c r="AH78" s="2">
        <v>3</v>
      </c>
      <c r="AI78" s="2" t="str">
        <f>"18002022609"</f>
        <v>18002022609</v>
      </c>
      <c r="AJ78" s="2">
        <v>26</v>
      </c>
      <c r="AK78" s="2">
        <v>9</v>
      </c>
      <c r="AL78" s="2" t="s">
        <v>42</v>
      </c>
      <c r="AM78" s="2" t="s">
        <v>43</v>
      </c>
      <c r="AN78" s="2">
        <v>2</v>
      </c>
      <c r="AO78" s="2">
        <v>6799</v>
      </c>
      <c r="AP78" s="2" t="s">
        <v>284</v>
      </c>
      <c r="AQ78" s="2"/>
      <c r="AR78" s="2" t="s">
        <v>330</v>
      </c>
      <c r="AS78" s="3" t="s">
        <v>331</v>
      </c>
      <c r="AT78" s="2" t="s">
        <v>117</v>
      </c>
      <c r="AU78" s="2" t="s">
        <v>117</v>
      </c>
      <c r="AV78" s="7">
        <v>76.95</v>
      </c>
      <c r="AW78" s="2">
        <v>2</v>
      </c>
      <c r="AX78" s="2"/>
      <c r="AY78" s="2"/>
    </row>
    <row r="79" spans="1:51" ht="18.75" customHeight="1">
      <c r="A79" t="str">
        <f>"1002201811261152201382"</f>
        <v>1002201811261152201382</v>
      </c>
      <c r="B79" s="9">
        <v>77</v>
      </c>
      <c r="C79" s="2" t="s">
        <v>282</v>
      </c>
      <c r="D79" s="2" t="str">
        <f>"王珅"</f>
        <v>王珅</v>
      </c>
      <c r="E79" s="2" t="str">
        <f t="shared" si="51"/>
        <v>男</v>
      </c>
      <c r="F79" s="2" t="str">
        <f>"1986-09-11"</f>
        <v>1986-09-11</v>
      </c>
      <c r="G79" s="2" t="str">
        <f>"321281198609110332"</f>
        <v>321281198609110332</v>
      </c>
      <c r="H79" s="2" t="str">
        <f>"江苏省苏州市姑苏区"</f>
        <v>江苏省苏州市姑苏区</v>
      </c>
      <c r="I79" s="2" t="str">
        <f t="shared" si="52"/>
        <v>非应届生</v>
      </c>
      <c r="J79" s="2" t="str">
        <f t="shared" si="53"/>
        <v>无</v>
      </c>
      <c r="K79" s="2" t="str">
        <f>"2008.07"</f>
        <v>2008.07</v>
      </c>
      <c r="L79" s="2" t="str">
        <f t="shared" si="49"/>
        <v>学士</v>
      </c>
      <c r="M79" s="2" t="str">
        <f>"南京工程学院"</f>
        <v>南京工程学院</v>
      </c>
      <c r="N79" s="2" t="str">
        <f>"材料成型及控制工程（模具设计）"</f>
        <v>材料成型及控制工程（模具设计）</v>
      </c>
      <c r="O79" s="2" t="str">
        <f t="shared" si="50"/>
        <v>本科</v>
      </c>
      <c r="P79" s="2" t="str">
        <f>"173"</f>
        <v>173</v>
      </c>
      <c r="Q79" s="2" t="str">
        <f>"无"</f>
        <v>无</v>
      </c>
      <c r="R79" s="2" t="str">
        <f>"2008.09"</f>
        <v>2008.09</v>
      </c>
      <c r="S79" s="2" t="str">
        <f>"江苏省苏州市姑苏区锦沧名苑15幢406"</f>
        <v>江苏省苏州市姑苏区锦沧名苑15幢406</v>
      </c>
      <c r="T79" s="2" t="str">
        <f>"215000"</f>
        <v>215000</v>
      </c>
      <c r="U79" s="2" t="str">
        <f>"052383236752"</f>
        <v>052383236752</v>
      </c>
      <c r="V79" s="2" t="str">
        <f>"18021309690"</f>
        <v>18021309690</v>
      </c>
      <c r="W79" s="2" t="str">
        <f t="shared" ref="W79" si="54">"无"</f>
        <v>无</v>
      </c>
      <c r="X79" s="2" t="str">
        <f t="shared" si="26"/>
        <v>否</v>
      </c>
      <c r="Y79" s="2" t="str">
        <f>"熟练"</f>
        <v>熟练</v>
      </c>
      <c r="Z79" s="2" t="str">
        <f>"熟练"</f>
        <v>熟练</v>
      </c>
      <c r="AA79" s="2" t="str">
        <f>"父亲|王光明|兴化市第二人民医院|母亲|蔡玉萍|兴化市第二人民医院|妻|蔡文华|苏州市轨道交通|||"</f>
        <v>父亲|王光明|兴化市第二人民医院|母亲|蔡玉萍|兴化市第二人民医院|妻|蔡文华|苏州市轨道交通|||</v>
      </c>
      <c r="AB79" s="2" t="str">
        <f>"2002.09-2004.07 兴化市昭阳中学 学生_x000D_
2004.09-2008.07 南京工程学院 学生_x000D_
2008.08-2008.09 苏州汉科精密注塑有限公司 职员_x000D_
2010.05-2017.07 上海顶淳食品有限公司 职员"</f>
        <v>2002.09-2004.07 兴化市昭阳中学 学生_x000D_
2004.09-2008.07 南京工程学院 学生_x000D_
2008.08-2008.09 苏州汉科精密注塑有限公司 职员_x000D_
2010.05-2017.07 上海顶淳食品有限公司 职员</v>
      </c>
      <c r="AC79" s="2" t="str">
        <f t="shared" si="48"/>
        <v>无</v>
      </c>
      <c r="AD79" s="2" t="str">
        <f>"无"</f>
        <v>无</v>
      </c>
      <c r="AE79" s="4">
        <v>43430.761111111111</v>
      </c>
      <c r="AF79" s="2">
        <v>1</v>
      </c>
      <c r="AG79" s="2">
        <v>1</v>
      </c>
      <c r="AH79" s="2">
        <v>1</v>
      </c>
      <c r="AI79" s="2" t="str">
        <f>"18002022611"</f>
        <v>18002022611</v>
      </c>
      <c r="AJ79" s="2">
        <v>26</v>
      </c>
      <c r="AK79" s="2">
        <v>11</v>
      </c>
      <c r="AL79" s="2" t="s">
        <v>42</v>
      </c>
      <c r="AM79" s="2" t="s">
        <v>43</v>
      </c>
      <c r="AN79" s="2">
        <v>2</v>
      </c>
      <c r="AO79" s="2">
        <v>6945</v>
      </c>
      <c r="AP79" s="2" t="s">
        <v>285</v>
      </c>
      <c r="AQ79" s="2"/>
      <c r="AR79" s="2" t="s">
        <v>330</v>
      </c>
      <c r="AS79" s="3" t="s">
        <v>331</v>
      </c>
      <c r="AT79" s="2" t="s">
        <v>117</v>
      </c>
      <c r="AU79" s="2" t="s">
        <v>117</v>
      </c>
      <c r="AV79" s="7">
        <v>74.45</v>
      </c>
      <c r="AW79" s="2">
        <v>3</v>
      </c>
      <c r="AX79" s="2"/>
      <c r="AY79" s="2"/>
    </row>
    <row r="80" spans="1:51" ht="18.75" customHeight="1">
      <c r="A80" t="str">
        <f>"1002201811261119531254"</f>
        <v>1002201811261119531254</v>
      </c>
      <c r="B80" s="9">
        <v>78</v>
      </c>
      <c r="C80" s="2" t="s">
        <v>118</v>
      </c>
      <c r="D80" s="2" t="str">
        <f>"孙薛鹏"</f>
        <v>孙薛鹏</v>
      </c>
      <c r="E80" s="2" t="str">
        <f t="shared" si="51"/>
        <v>男</v>
      </c>
      <c r="F80" s="2" t="str">
        <f>"1993-12-22"</f>
        <v>1993-12-22</v>
      </c>
      <c r="G80" s="2" t="str">
        <f>"32068219931222113X"</f>
        <v>32068219931222113X</v>
      </c>
      <c r="H80" s="2" t="str">
        <f>"江苏如皋"</f>
        <v>江苏如皋</v>
      </c>
      <c r="I80" s="2" t="str">
        <f t="shared" si="52"/>
        <v>非应届生</v>
      </c>
      <c r="J80" s="2" t="str">
        <f t="shared" si="53"/>
        <v>无</v>
      </c>
      <c r="K80" s="2" t="str">
        <f>"2017.07.15"</f>
        <v>2017.07.15</v>
      </c>
      <c r="L80" s="2" t="str">
        <f t="shared" si="49"/>
        <v>学士</v>
      </c>
      <c r="M80" s="2" t="str">
        <f>"大连海事大学"</f>
        <v>大连海事大学</v>
      </c>
      <c r="N80" s="2" t="str">
        <f>"轮机工程（函授）"</f>
        <v>轮机工程（函授）</v>
      </c>
      <c r="O80" s="2" t="str">
        <f t="shared" si="50"/>
        <v>本科</v>
      </c>
      <c r="P80" s="2" t="str">
        <f>"171"</f>
        <v>171</v>
      </c>
      <c r="Q80" s="2" t="str">
        <f>"无"</f>
        <v>无</v>
      </c>
      <c r="R80" s="2" t="str">
        <f>"无"</f>
        <v>无</v>
      </c>
      <c r="S80" s="2" t="str">
        <f>"江苏省如皋市东陈镇范桥村一组18号"</f>
        <v>江苏省如皋市东陈镇范桥村一组18号</v>
      </c>
      <c r="T80" s="2" t="str">
        <f>"226571"</f>
        <v>226571</v>
      </c>
      <c r="U80" s="2" t="str">
        <f>"0513-87545064"</f>
        <v>0513-87545064</v>
      </c>
      <c r="V80" s="2" t="str">
        <f>"13073285516"</f>
        <v>13073285516</v>
      </c>
      <c r="W80" s="2" t="str">
        <f>"无"</f>
        <v>无</v>
      </c>
      <c r="X80" s="2" t="str">
        <f t="shared" si="26"/>
        <v>否</v>
      </c>
      <c r="Y80" s="2" t="str">
        <f>"英语四级"</f>
        <v>英语四级</v>
      </c>
      <c r="Z80" s="2" t="str">
        <f>"一级B"</f>
        <v>一级B</v>
      </c>
      <c r="AA80" s="2" t="str">
        <f>"父亲|薛广兵|农民|母亲|孙叶红|弗恩|妻子|冒小芹|南凌幼儿园|||"</f>
        <v>父亲|薛广兵|农民|母亲|孙叶红|弗恩|妻子|冒小芹|南凌幼儿园|||</v>
      </c>
      <c r="AB80" s="2" t="str">
        <f>"2008.09-2011.09如皋市丁堰中学  学生_x000D_
2011.09-2014.09南通航运职业技术学院 学生_x000D_
2015.03-2017.07大连海事大学   学生"</f>
        <v>2008.09-2011.09如皋市丁堰中学  学生_x000D_
2011.09-2014.09南通航运职业技术学院 学生_x000D_
2015.03-2017.07大连海事大学   学生</v>
      </c>
      <c r="AC80" s="2" t="str">
        <f t="shared" si="48"/>
        <v>无</v>
      </c>
      <c r="AD80" s="2" t="str">
        <f>""</f>
        <v/>
      </c>
      <c r="AE80" s="4">
        <v>43432.398796296293</v>
      </c>
      <c r="AF80" s="2">
        <v>1</v>
      </c>
      <c r="AG80" s="2">
        <v>1</v>
      </c>
      <c r="AH80" s="2">
        <v>1</v>
      </c>
      <c r="AI80" s="2" t="str">
        <f>"18002010103"</f>
        <v>18002010103</v>
      </c>
      <c r="AJ80" s="2">
        <v>1</v>
      </c>
      <c r="AK80" s="2">
        <v>3</v>
      </c>
      <c r="AL80" s="2" t="s">
        <v>119</v>
      </c>
      <c r="AM80" s="2" t="s">
        <v>120</v>
      </c>
      <c r="AN80" s="2">
        <v>1</v>
      </c>
      <c r="AO80" s="2">
        <v>1293</v>
      </c>
      <c r="AP80" s="2" t="s">
        <v>121</v>
      </c>
      <c r="AQ80" s="2"/>
      <c r="AR80" s="2" t="s">
        <v>330</v>
      </c>
      <c r="AS80" s="3" t="s">
        <v>331</v>
      </c>
      <c r="AT80" s="2" t="s">
        <v>117</v>
      </c>
      <c r="AU80" s="2" t="s">
        <v>117</v>
      </c>
      <c r="AV80" s="7">
        <v>72.25</v>
      </c>
      <c r="AW80" s="2">
        <v>1</v>
      </c>
      <c r="AX80" s="2"/>
      <c r="AY80" s="2"/>
    </row>
    <row r="81" spans="1:51" ht="18.75" customHeight="1">
      <c r="A81" t="str">
        <f>"1002201811271804124032"</f>
        <v>1002201811271804124032</v>
      </c>
      <c r="B81" s="9">
        <v>79</v>
      </c>
      <c r="C81" s="2" t="s">
        <v>118</v>
      </c>
      <c r="D81" s="2" t="str">
        <f>"李宏兵"</f>
        <v>李宏兵</v>
      </c>
      <c r="E81" s="2" t="str">
        <f t="shared" si="51"/>
        <v>男</v>
      </c>
      <c r="F81" s="2" t="str">
        <f>"1990-11-25"</f>
        <v>1990-11-25</v>
      </c>
      <c r="G81" s="2" t="str">
        <f>"320623199011257817"</f>
        <v>320623199011257817</v>
      </c>
      <c r="H81" s="2" t="str">
        <f>"江苏如东"</f>
        <v>江苏如东</v>
      </c>
      <c r="I81" s="2" t="str">
        <f t="shared" si="52"/>
        <v>非应届生</v>
      </c>
      <c r="J81" s="2" t="str">
        <f t="shared" si="53"/>
        <v>无</v>
      </c>
      <c r="K81" s="2" t="str">
        <f>"2013.06"</f>
        <v>2013.06</v>
      </c>
      <c r="L81" s="2" t="str">
        <f t="shared" si="49"/>
        <v>学士</v>
      </c>
      <c r="M81" s="2" t="str">
        <f>"江苏科技大学苏州理工学院"</f>
        <v>江苏科技大学苏州理工学院</v>
      </c>
      <c r="N81" s="2" t="str">
        <f t="shared" ref="N81:N82" si="55">"轮机工程"</f>
        <v>轮机工程</v>
      </c>
      <c r="O81" s="2" t="str">
        <f t="shared" si="50"/>
        <v>本科</v>
      </c>
      <c r="P81" s="2" t="str">
        <f>"173"</f>
        <v>173</v>
      </c>
      <c r="Q81" s="2" t="str">
        <f>"启东中远海运海洋工程有限公司"</f>
        <v>启东中远海运海洋工程有限公司</v>
      </c>
      <c r="R81" s="2" t="str">
        <f>"2013.08"</f>
        <v>2013.08</v>
      </c>
      <c r="S81" s="2" t="str">
        <f>"江苏省如东县马塘镇马东村18组8号"</f>
        <v>江苏省如东县马塘镇马东村18组8号</v>
      </c>
      <c r="T81" s="2" t="str">
        <f>"226401"</f>
        <v>226401</v>
      </c>
      <c r="U81" s="2" t="str">
        <f>"无"</f>
        <v>无</v>
      </c>
      <c r="V81" s="2" t="str">
        <f>"15251376998"</f>
        <v>15251376998</v>
      </c>
      <c r="W81" s="2" t="str">
        <f>"二级乙等"</f>
        <v>二级乙等</v>
      </c>
      <c r="X81" s="2" t="str">
        <f t="shared" si="26"/>
        <v>否</v>
      </c>
      <c r="Y81" s="2" t="str">
        <f>"英语六级"</f>
        <v>英语六级</v>
      </c>
      <c r="Z81" s="2" t="str">
        <f>"熟练"</f>
        <v>熟练</v>
      </c>
      <c r="AA81" s="2" t="str">
        <f>"夫妻|潘雨晨|如东县中医院|||||||||"</f>
        <v>夫妻|潘雨晨|如东县中医院|||||||||</v>
      </c>
      <c r="AB81" s="2" t="str">
        <f>"2006.09-2009.06 如东县马塘中学 学生_x000D_
2009.09-2013.06 江苏科技大学苏州理工学院轮机专业 学生_x000D_
2013.08至今 启东中远海运海洋工程有限公司 职员"</f>
        <v>2006.09-2009.06 如东县马塘中学 学生_x000D_
2009.09-2013.06 江苏科技大学苏州理工学院轮机专业 学生_x000D_
2013.08至今 启东中远海运海洋工程有限公司 职员</v>
      </c>
      <c r="AC81" s="2" t="str">
        <f t="shared" si="48"/>
        <v>无</v>
      </c>
      <c r="AD81" s="2" t="str">
        <f>""</f>
        <v/>
      </c>
      <c r="AE81" s="4">
        <v>43432.397974537038</v>
      </c>
      <c r="AF81" s="2">
        <v>1</v>
      </c>
      <c r="AG81" s="2">
        <v>1</v>
      </c>
      <c r="AH81" s="2">
        <v>1</v>
      </c>
      <c r="AI81" s="2" t="str">
        <f>"18002010115"</f>
        <v>18002010115</v>
      </c>
      <c r="AJ81" s="2">
        <v>1</v>
      </c>
      <c r="AK81" s="2">
        <v>15</v>
      </c>
      <c r="AL81" s="2" t="s">
        <v>119</v>
      </c>
      <c r="AM81" s="2" t="s">
        <v>120</v>
      </c>
      <c r="AN81" s="2">
        <v>1</v>
      </c>
      <c r="AO81" s="2">
        <v>8455</v>
      </c>
      <c r="AP81" s="2" t="s">
        <v>123</v>
      </c>
      <c r="AQ81" s="2"/>
      <c r="AR81" s="2" t="s">
        <v>330</v>
      </c>
      <c r="AS81" s="3" t="s">
        <v>331</v>
      </c>
      <c r="AT81" s="2" t="s">
        <v>117</v>
      </c>
      <c r="AU81" s="2" t="s">
        <v>117</v>
      </c>
      <c r="AV81" s="7">
        <v>69</v>
      </c>
      <c r="AW81" s="2">
        <v>2</v>
      </c>
      <c r="AX81" s="2"/>
      <c r="AY81" s="2"/>
    </row>
    <row r="82" spans="1:51" ht="18.75" customHeight="1">
      <c r="A82" t="str">
        <f>"1002201811261815442478"</f>
        <v>1002201811261815442478</v>
      </c>
      <c r="B82" s="9">
        <v>80</v>
      </c>
      <c r="C82" s="2" t="s">
        <v>118</v>
      </c>
      <c r="D82" s="2" t="str">
        <f>"吕友城"</f>
        <v>吕友城</v>
      </c>
      <c r="E82" s="2" t="str">
        <f t="shared" si="51"/>
        <v>男</v>
      </c>
      <c r="F82" s="2" t="str">
        <f>"1993-03-10"</f>
        <v>1993-03-10</v>
      </c>
      <c r="G82" s="2" t="str">
        <f>"341227199303100414"</f>
        <v>341227199303100414</v>
      </c>
      <c r="H82" s="2" t="str">
        <f>"安徽省利辛县城关镇吕桥村吕桥庄32户"</f>
        <v>安徽省利辛县城关镇吕桥村吕桥庄32户</v>
      </c>
      <c r="I82" s="2" t="str">
        <f t="shared" si="52"/>
        <v>非应届生</v>
      </c>
      <c r="J82" s="2" t="str">
        <f t="shared" si="53"/>
        <v>无</v>
      </c>
      <c r="K82" s="2" t="str">
        <f>"2017.06"</f>
        <v>2017.06</v>
      </c>
      <c r="L82" s="2" t="str">
        <f t="shared" si="49"/>
        <v>学士</v>
      </c>
      <c r="M82" s="2" t="str">
        <f>"宁波大学"</f>
        <v>宁波大学</v>
      </c>
      <c r="N82" s="2" t="str">
        <f t="shared" si="55"/>
        <v>轮机工程</v>
      </c>
      <c r="O82" s="2" t="str">
        <f t="shared" si="50"/>
        <v>本科</v>
      </c>
      <c r="P82" s="2" t="str">
        <f>"174"</f>
        <v>174</v>
      </c>
      <c r="Q82" s="2" t="str">
        <f>"怀远县地方海事处"</f>
        <v>怀远县地方海事处</v>
      </c>
      <c r="R82" s="2" t="str">
        <f>"2017.12"</f>
        <v>2017.12</v>
      </c>
      <c r="S82" s="2" t="str">
        <f>"安徽省怀远县城关镇怀远地方海事处"</f>
        <v>安徽省怀远县城关镇怀远地方海事处</v>
      </c>
      <c r="T82" s="2" t="str">
        <f>"233400"</f>
        <v>233400</v>
      </c>
      <c r="U82" s="2" t="str">
        <f>"无"</f>
        <v>无</v>
      </c>
      <c r="V82" s="2" t="str">
        <f>"15825572960"</f>
        <v>15825572960</v>
      </c>
      <c r="W82" s="2" t="str">
        <f>"二级乙等"</f>
        <v>二级乙等</v>
      </c>
      <c r="X82" s="2" t="str">
        <f t="shared" si="26"/>
        <v>否</v>
      </c>
      <c r="Y82" s="2" t="str">
        <f>"无"</f>
        <v>无</v>
      </c>
      <c r="Z82" s="2" t="str">
        <f>"无"</f>
        <v>无</v>
      </c>
      <c r="AA82" s="2" t="str">
        <f>"父亲|吕刚|无|母亲|高梅|无||||||"</f>
        <v>父亲|吕刚|无|母亲|高梅|无||||||</v>
      </c>
      <c r="AB82" s="2" t="str">
        <f>"2009.09-2012.07 利辛一中 学生_x000D_
2012.09-2013.07 蒙城一中 学生_x000D_
2013.09-2017.06 宁波大学 学生_x000D_
2017.12-至今 怀远县地方海事处 科员"</f>
        <v>2009.09-2012.07 利辛一中 学生_x000D_
2012.09-2013.07 蒙城一中 学生_x000D_
2013.09-2017.06 宁波大学 学生_x000D_
2017.12-至今 怀远县地方海事处 科员</v>
      </c>
      <c r="AC82" s="2" t="str">
        <f t="shared" si="48"/>
        <v>无</v>
      </c>
      <c r="AD82" s="2" t="str">
        <f>"怀远县地方海事处非参公事业单位"</f>
        <v>怀远县地方海事处非参公事业单位</v>
      </c>
      <c r="AE82" s="4">
        <v>43430.775300925925</v>
      </c>
      <c r="AF82" s="2">
        <v>1</v>
      </c>
      <c r="AG82" s="2">
        <v>1</v>
      </c>
      <c r="AH82" s="2">
        <v>2</v>
      </c>
      <c r="AI82" s="2" t="str">
        <f>"18002010114"</f>
        <v>18002010114</v>
      </c>
      <c r="AJ82" s="2">
        <v>1</v>
      </c>
      <c r="AK82" s="2">
        <v>14</v>
      </c>
      <c r="AL82" s="2" t="s">
        <v>119</v>
      </c>
      <c r="AM82" s="2" t="s">
        <v>120</v>
      </c>
      <c r="AN82" s="2">
        <v>1</v>
      </c>
      <c r="AO82" s="2">
        <v>7897</v>
      </c>
      <c r="AP82" s="2" t="s">
        <v>122</v>
      </c>
      <c r="AQ82" s="2"/>
      <c r="AR82" s="2" t="s">
        <v>330</v>
      </c>
      <c r="AS82" s="3" t="s">
        <v>331</v>
      </c>
      <c r="AT82" s="2" t="s">
        <v>117</v>
      </c>
      <c r="AU82" s="2" t="s">
        <v>117</v>
      </c>
      <c r="AV82" s="7">
        <v>65.900000000000006</v>
      </c>
      <c r="AW82" s="2">
        <v>3</v>
      </c>
      <c r="AX82" s="2"/>
      <c r="AY82" s="2"/>
    </row>
    <row r="83" spans="1:51" ht="18.75" customHeight="1">
      <c r="A83" t="str">
        <f>"100220181126100925790"</f>
        <v>100220181126100925790</v>
      </c>
      <c r="B83" s="9">
        <v>81</v>
      </c>
      <c r="C83" s="2" t="s">
        <v>286</v>
      </c>
      <c r="D83" s="2" t="str">
        <f>"何飞"</f>
        <v>何飞</v>
      </c>
      <c r="E83" s="2" t="str">
        <f t="shared" si="51"/>
        <v>男</v>
      </c>
      <c r="F83" s="2" t="str">
        <f>"1984-10-24"</f>
        <v>1984-10-24</v>
      </c>
      <c r="G83" s="2" t="str">
        <f>"340123198410246471"</f>
        <v>340123198410246471</v>
      </c>
      <c r="H83" s="2" t="str">
        <f>"安徽滁州市南谯区"</f>
        <v>安徽滁州市南谯区</v>
      </c>
      <c r="I83" s="2" t="str">
        <f t="shared" si="52"/>
        <v>非应届生</v>
      </c>
      <c r="J83" s="2" t="str">
        <f>"记者"</f>
        <v>记者</v>
      </c>
      <c r="K83" s="2" t="str">
        <f>"2005.07"</f>
        <v>2005.07</v>
      </c>
      <c r="L83" s="2" t="str">
        <f t="shared" si="49"/>
        <v>学士</v>
      </c>
      <c r="M83" s="2" t="str">
        <f>"安徽大学"</f>
        <v>安徽大学</v>
      </c>
      <c r="N83" s="2" t="str">
        <f>"社会学"</f>
        <v>社会学</v>
      </c>
      <c r="O83" s="2" t="str">
        <f t="shared" si="50"/>
        <v>本科</v>
      </c>
      <c r="P83" s="2" t="str">
        <f>"172"</f>
        <v>172</v>
      </c>
      <c r="Q83" s="2" t="str">
        <f>"滁州广播电视台"</f>
        <v>滁州广播电视台</v>
      </c>
      <c r="R83" s="2" t="str">
        <f>"2005.11"</f>
        <v>2005.11</v>
      </c>
      <c r="S83" s="2" t="str">
        <f>"安徽省滁州市经开区会峰大厦二楼"</f>
        <v>安徽省滁州市经开区会峰大厦二楼</v>
      </c>
      <c r="T83" s="2" t="str">
        <f>"239000"</f>
        <v>239000</v>
      </c>
      <c r="U83" s="2" t="str">
        <f>"无"</f>
        <v>无</v>
      </c>
      <c r="V83" s="2" t="str">
        <f>"13955005048"</f>
        <v>13955005048</v>
      </c>
      <c r="W83" s="2" t="str">
        <f>"无"</f>
        <v>无</v>
      </c>
      <c r="X83" s="2" t="str">
        <f t="shared" si="26"/>
        <v>否</v>
      </c>
      <c r="Y83" s="2" t="str">
        <f>"英语四级"</f>
        <v>英语四级</v>
      </c>
      <c r="Z83" s="2" t="str">
        <f>"熟练"</f>
        <v>熟练</v>
      </c>
      <c r="AA83" s="2" t="str">
        <f>"父亲|何其海|务农|母亲|程德英|务农|妻子|柯明娟|滁州市二院|女儿|何钰萌|滁州市冰心幼儿园"</f>
        <v>父亲|何其海|务农|母亲|程德英|务农|妻子|柯明娟|滁州市二院|女儿|何钰萌|滁州市冰心幼儿园</v>
      </c>
      <c r="AB83" s="2" t="str">
        <f>"1998.09-2001.07 安徽肥东第一中学 学生_x000D_
2001.09-2005.07 安徽大学社会学系 学生_x000D_
2005.11至今 滁州广播电台、滁州广播电视台  记者"</f>
        <v>1998.09-2001.07 安徽肥东第一中学 学生_x000D_
2001.09-2005.07 安徽大学社会学系 学生_x000D_
2005.11至今 滁州广播电台、滁州广播电视台  记者</v>
      </c>
      <c r="AC83" s="2" t="str">
        <f t="shared" si="48"/>
        <v>无</v>
      </c>
      <c r="AD83" s="2" t="str">
        <f>"无"</f>
        <v>无</v>
      </c>
      <c r="AE83" s="4">
        <v>43431.701990740738</v>
      </c>
      <c r="AF83" s="2">
        <v>1</v>
      </c>
      <c r="AG83" s="2">
        <v>1</v>
      </c>
      <c r="AH83" s="2">
        <v>2</v>
      </c>
      <c r="AI83" s="2" t="str">
        <f>"18002023204"</f>
        <v>18002023204</v>
      </c>
      <c r="AJ83" s="2">
        <v>32</v>
      </c>
      <c r="AK83" s="2">
        <v>4</v>
      </c>
      <c r="AL83" s="2" t="s">
        <v>42</v>
      </c>
      <c r="AM83" s="2" t="s">
        <v>43</v>
      </c>
      <c r="AN83" s="2">
        <v>2</v>
      </c>
      <c r="AO83" s="2">
        <v>4236</v>
      </c>
      <c r="AP83" s="2" t="s">
        <v>292</v>
      </c>
      <c r="AQ83" s="2"/>
      <c r="AR83" s="2" t="s">
        <v>330</v>
      </c>
      <c r="AS83" s="3" t="s">
        <v>331</v>
      </c>
      <c r="AT83" s="2" t="s">
        <v>117</v>
      </c>
      <c r="AU83" s="2" t="s">
        <v>117</v>
      </c>
      <c r="AV83" s="7">
        <v>74.55</v>
      </c>
      <c r="AW83" s="2">
        <v>1</v>
      </c>
      <c r="AX83" s="2"/>
      <c r="AY83" s="2"/>
    </row>
    <row r="84" spans="1:51" ht="18.75" customHeight="1">
      <c r="A84" t="str">
        <f>"1002201811261259331636"</f>
        <v>1002201811261259331636</v>
      </c>
      <c r="B84" s="9">
        <v>82</v>
      </c>
      <c r="C84" s="2" t="s">
        <v>286</v>
      </c>
      <c r="D84" s="2" t="str">
        <f>"丁融"</f>
        <v>丁融</v>
      </c>
      <c r="E84" s="2" t="str">
        <f>"女"</f>
        <v>女</v>
      </c>
      <c r="F84" s="2" t="str">
        <f>"1996-05-11"</f>
        <v>1996-05-11</v>
      </c>
      <c r="G84" s="2" t="str">
        <f>"320621199605110027"</f>
        <v>320621199605110027</v>
      </c>
      <c r="H84" s="2" t="str">
        <f>"江苏省海安"</f>
        <v>江苏省海安</v>
      </c>
      <c r="I84" s="2" t="str">
        <f t="shared" si="52"/>
        <v>非应届生</v>
      </c>
      <c r="J84" s="2" t="str">
        <f t="shared" ref="J84:J89" si="56">"无"</f>
        <v>无</v>
      </c>
      <c r="K84" s="2" t="str">
        <f>"2018.06"</f>
        <v>2018.06</v>
      </c>
      <c r="L84" s="2" t="str">
        <f t="shared" si="49"/>
        <v>学士</v>
      </c>
      <c r="M84" s="2" t="str">
        <f>"南京工业大学"</f>
        <v>南京工业大学</v>
      </c>
      <c r="N84" s="2" t="str">
        <f>"国际经济与贸易"</f>
        <v>国际经济与贸易</v>
      </c>
      <c r="O84" s="2" t="str">
        <f t="shared" si="50"/>
        <v>本科</v>
      </c>
      <c r="P84" s="2" t="str">
        <f>"170"</f>
        <v>170</v>
      </c>
      <c r="Q84" s="2" t="str">
        <f>"无"</f>
        <v>无</v>
      </c>
      <c r="R84" s="2" t="str">
        <f>"无"</f>
        <v>无</v>
      </c>
      <c r="S84" s="2" t="str">
        <f>"江苏省南通市海安县永安北路50号城市花园"</f>
        <v>江苏省南通市海安县永安北路50号城市花园</v>
      </c>
      <c r="T84" s="2" t="str">
        <f>"226600"</f>
        <v>226600</v>
      </c>
      <c r="U84" s="2" t="str">
        <f>"无"</f>
        <v>无</v>
      </c>
      <c r="V84" s="2" t="str">
        <f>"15195808992"</f>
        <v>15195808992</v>
      </c>
      <c r="W84" s="2" t="str">
        <f>"无"</f>
        <v>无</v>
      </c>
      <c r="X84" s="2" t="str">
        <f t="shared" si="26"/>
        <v>否</v>
      </c>
      <c r="Y84" s="2" t="str">
        <f>"英语六级"</f>
        <v>英语六级</v>
      </c>
      <c r="Z84" s="2" t="str">
        <f>"计算机二级"</f>
        <v>计算机二级</v>
      </c>
      <c r="AA84" s="2" t="str">
        <f>"父亲|丁建国|苏州春隆纺织有限公司|母亲|周月华|无||||||"</f>
        <v>父亲|丁建国|苏州春隆纺织有限公司|母亲|周月华|无||||||</v>
      </c>
      <c r="AB84" s="2" t="str">
        <f>"2011.09-2014.06 海安县实验中学 学生_x000D_
2014.09-2018.06南京工业大学经济与管理学院国际经济与贸易专业 学生_x000D_
2018.06至今 无工作经验"</f>
        <v>2011.09-2014.06 海安县实验中学 学生_x000D_
2014.09-2018.06南京工业大学经济与管理学院国际经济与贸易专业 学生_x000D_
2018.06至今 无工作经验</v>
      </c>
      <c r="AC84" s="2" t="str">
        <f t="shared" si="48"/>
        <v>无</v>
      </c>
      <c r="AD84" s="2" t="str">
        <f>""</f>
        <v/>
      </c>
      <c r="AE84" s="4">
        <v>43431.713425925926</v>
      </c>
      <c r="AF84" s="2">
        <v>1</v>
      </c>
      <c r="AG84" s="2">
        <v>1</v>
      </c>
      <c r="AH84" s="2">
        <v>6</v>
      </c>
      <c r="AI84" s="2" t="str">
        <f>"18002023003"</f>
        <v>18002023003</v>
      </c>
      <c r="AJ84" s="2">
        <v>30</v>
      </c>
      <c r="AK84" s="2">
        <v>3</v>
      </c>
      <c r="AL84" s="2" t="s">
        <v>42</v>
      </c>
      <c r="AM84" s="2" t="s">
        <v>43</v>
      </c>
      <c r="AN84" s="2">
        <v>2</v>
      </c>
      <c r="AO84" s="2">
        <v>2221</v>
      </c>
      <c r="AP84" s="2" t="s">
        <v>289</v>
      </c>
      <c r="AQ84" s="2"/>
      <c r="AR84" s="2" t="s">
        <v>330</v>
      </c>
      <c r="AS84" s="3" t="s">
        <v>331</v>
      </c>
      <c r="AT84" s="2" t="s">
        <v>117</v>
      </c>
      <c r="AU84" s="2" t="s">
        <v>117</v>
      </c>
      <c r="AV84" s="7">
        <v>74</v>
      </c>
      <c r="AW84" s="2">
        <v>2</v>
      </c>
      <c r="AX84" s="2"/>
      <c r="AY84" s="2"/>
    </row>
    <row r="85" spans="1:51" ht="18.75" customHeight="1">
      <c r="A85" t="str">
        <f>"1002201811301049016837"</f>
        <v>1002201811301049016837</v>
      </c>
      <c r="B85" s="9">
        <v>83</v>
      </c>
      <c r="C85" s="2" t="s">
        <v>286</v>
      </c>
      <c r="D85" s="2" t="str">
        <f>"沈毅峰"</f>
        <v>沈毅峰</v>
      </c>
      <c r="E85" s="2" t="str">
        <f>"男"</f>
        <v>男</v>
      </c>
      <c r="F85" s="2" t="str">
        <f>"1994-10-29"</f>
        <v>1994-10-29</v>
      </c>
      <c r="G85" s="2" t="str">
        <f>"320281199410297797"</f>
        <v>320281199410297797</v>
      </c>
      <c r="H85" s="2" t="str">
        <f>"江苏省江阴市"</f>
        <v>江苏省江阴市</v>
      </c>
      <c r="I85" s="2" t="str">
        <f t="shared" si="52"/>
        <v>非应届生</v>
      </c>
      <c r="J85" s="2" t="str">
        <f t="shared" si="56"/>
        <v>无</v>
      </c>
      <c r="K85" s="2" t="str">
        <f>"2017.7"</f>
        <v>2017.7</v>
      </c>
      <c r="L85" s="2" t="str">
        <f t="shared" si="49"/>
        <v>学士</v>
      </c>
      <c r="M85" s="2" t="str">
        <f>"常熟理工学院"</f>
        <v>常熟理工学院</v>
      </c>
      <c r="N85" s="2" t="str">
        <f>"汉语言文学"</f>
        <v>汉语言文学</v>
      </c>
      <c r="O85" s="2" t="str">
        <f t="shared" si="50"/>
        <v>本科</v>
      </c>
      <c r="P85" s="2" t="str">
        <f>"177"</f>
        <v>177</v>
      </c>
      <c r="Q85" s="2" t="str">
        <f>"江阴市福利彩票管理中心"</f>
        <v>江阴市福利彩票管理中心</v>
      </c>
      <c r="R85" s="2" t="str">
        <f>"2017.7"</f>
        <v>2017.7</v>
      </c>
      <c r="S85" s="2" t="str">
        <f>"江阴市大桥一村71幢405室"</f>
        <v>江阴市大桥一村71幢405室</v>
      </c>
      <c r="T85" s="2" t="str">
        <f>"214400"</f>
        <v>214400</v>
      </c>
      <c r="U85" s="2" t="str">
        <f>"无"</f>
        <v>无</v>
      </c>
      <c r="V85" s="2" t="str">
        <f>"13771285630"</f>
        <v>13771285630</v>
      </c>
      <c r="W85" s="2" t="str">
        <f>"二级乙等"</f>
        <v>二级乙等</v>
      </c>
      <c r="X85" s="2" t="str">
        <f t="shared" si="26"/>
        <v>否</v>
      </c>
      <c r="Y85" s="2" t="str">
        <f>"大学英语四级"</f>
        <v>大学英语四级</v>
      </c>
      <c r="Z85" s="2" t="str">
        <f>"计算机一级"</f>
        <v>计算机一级</v>
      </c>
      <c r="AA85" s="2" t="str">
        <f>"父亲|沈桂荣|江苏江阴港港口集团股份有限公司|母亲|陈亚珍|江阴市第二实验幼儿园||||||"</f>
        <v>父亲|沈桂荣|江苏江阴港港口集团股份有限公司|母亲|陈亚珍|江阴市第二实验幼儿园||||||</v>
      </c>
      <c r="AB85" s="2" t="str">
        <f>"2010.09~2013.07 江阴市第一中学 学生_x000D_
2013.09~2017.07 常熟理工学院 学生_x000D_
2017.07至今 江阴市福利彩票管理中心 职员"</f>
        <v>2010.09~2013.07 江阴市第一中学 学生_x000D_
2013.09~2017.07 常熟理工学院 学生_x000D_
2017.07至今 江阴市福利彩票管理中心 职员</v>
      </c>
      <c r="AC85" s="2" t="str">
        <f t="shared" si="48"/>
        <v>无</v>
      </c>
      <c r="AD85" s="2" t="str">
        <f>"非编内人员"</f>
        <v>非编内人员</v>
      </c>
      <c r="AE85" s="4">
        <v>43434.529733796298</v>
      </c>
      <c r="AF85" s="2">
        <v>1</v>
      </c>
      <c r="AG85" s="2">
        <v>1</v>
      </c>
      <c r="AH85" s="2">
        <v>4</v>
      </c>
      <c r="AI85" s="2" t="str">
        <f>"18002022825"</f>
        <v>18002022825</v>
      </c>
      <c r="AJ85" s="2">
        <v>28</v>
      </c>
      <c r="AK85" s="2">
        <v>25</v>
      </c>
      <c r="AL85" s="2" t="s">
        <v>42</v>
      </c>
      <c r="AM85" s="2" t="s">
        <v>43</v>
      </c>
      <c r="AN85" s="2">
        <v>2</v>
      </c>
      <c r="AO85" s="2">
        <v>1505</v>
      </c>
      <c r="AP85" s="2" t="s">
        <v>287</v>
      </c>
      <c r="AQ85" s="2"/>
      <c r="AR85" s="2" t="s">
        <v>330</v>
      </c>
      <c r="AS85" s="3" t="s">
        <v>331</v>
      </c>
      <c r="AT85" s="2" t="s">
        <v>117</v>
      </c>
      <c r="AU85" s="2" t="s">
        <v>117</v>
      </c>
      <c r="AV85" s="7">
        <v>73.55</v>
      </c>
      <c r="AW85" s="2">
        <v>3</v>
      </c>
      <c r="AX85" s="2"/>
      <c r="AY85" s="2"/>
    </row>
    <row r="86" spans="1:51" ht="18.75" customHeight="1">
      <c r="A86" t="str">
        <f>"1002201811281255354788"</f>
        <v>1002201811281255354788</v>
      </c>
      <c r="B86" s="9">
        <v>84</v>
      </c>
      <c r="C86" s="2" t="s">
        <v>286</v>
      </c>
      <c r="D86" s="2" t="str">
        <f>"汤小萱"</f>
        <v>汤小萱</v>
      </c>
      <c r="E86" s="2" t="str">
        <f>"女"</f>
        <v>女</v>
      </c>
      <c r="F86" s="2" t="str">
        <f>"1997-01-17"</f>
        <v>1997-01-17</v>
      </c>
      <c r="G86" s="2" t="str">
        <f>"320882199701175625"</f>
        <v>320882199701175625</v>
      </c>
      <c r="H86" s="2" t="str">
        <f>"江苏省淮安市淮安区汤朱村4组"</f>
        <v>江苏省淮安市淮安区汤朱村4组</v>
      </c>
      <c r="I86" s="2" t="str">
        <f>"应届生"</f>
        <v>应届生</v>
      </c>
      <c r="J86" s="2" t="str">
        <f t="shared" si="56"/>
        <v>无</v>
      </c>
      <c r="K86" s="2" t="str">
        <f>"2019.6"</f>
        <v>2019.6</v>
      </c>
      <c r="L86" s="2" t="str">
        <f t="shared" si="49"/>
        <v>学士</v>
      </c>
      <c r="M86" s="2" t="str">
        <f>"江苏师范大学"</f>
        <v>江苏师范大学</v>
      </c>
      <c r="N86" s="2" t="str">
        <f>"社会工作"</f>
        <v>社会工作</v>
      </c>
      <c r="O86" s="2" t="str">
        <f t="shared" si="50"/>
        <v>本科</v>
      </c>
      <c r="P86" s="2" t="str">
        <f>"156"</f>
        <v>156</v>
      </c>
      <c r="Q86" s="2" t="str">
        <f>"无"</f>
        <v>无</v>
      </c>
      <c r="R86" s="2" t="str">
        <f>"无"</f>
        <v>无</v>
      </c>
      <c r="S86" s="2" t="str">
        <f>"江苏省徐州市铜山区上海路101号江苏师范大学泉山校区"</f>
        <v>江苏省徐州市铜山区上海路101号江苏师范大学泉山校区</v>
      </c>
      <c r="T86" s="2" t="str">
        <f>"221000"</f>
        <v>221000</v>
      </c>
      <c r="U86" s="2" t="str">
        <f>"18852151590"</f>
        <v>18852151590</v>
      </c>
      <c r="V86" s="2" t="str">
        <f>"18852151590"</f>
        <v>18852151590</v>
      </c>
      <c r="W86" s="2" t="str">
        <f>"二级乙等"</f>
        <v>二级乙等</v>
      </c>
      <c r="X86" s="2" t="str">
        <f t="shared" si="26"/>
        <v>否</v>
      </c>
      <c r="Y86" s="2" t="str">
        <f>"通过CET-4、CET-6"</f>
        <v>通过CET-4、CET-6</v>
      </c>
      <c r="Z86" s="2" t="str">
        <f>"通过65二级MS Office高级应用"</f>
        <v>通过65二级MS Office高级应用</v>
      </c>
      <c r="AA86" s="2" t="str">
        <f>"父女|汤艮生|无|母女|刘艮梅|无|兄妹|汤夕巧|无|||"</f>
        <v>父女|汤艮生|无|母女|刘艮梅|无|兄妹|汤夕巧|无|||</v>
      </c>
      <c r="AB86" s="2" t="str">
        <f>"2011.09-2015.06 淮安区楚州中学_x000D_
2015.09-2019.06 江苏师范大学哲学与公共管理学院社会工作专业 学生"</f>
        <v>2011.09-2015.06 淮安区楚州中学_x000D_
2015.09-2019.06 江苏师范大学哲学与公共管理学院社会工作专业 学生</v>
      </c>
      <c r="AC86" s="2" t="str">
        <f t="shared" si="48"/>
        <v>无</v>
      </c>
      <c r="AD86" s="2" t="str">
        <f>""</f>
        <v/>
      </c>
      <c r="AE86" s="4">
        <v>43432.684803240743</v>
      </c>
      <c r="AF86" s="2">
        <v>1</v>
      </c>
      <c r="AG86" s="2">
        <v>1</v>
      </c>
      <c r="AH86" s="2">
        <v>4</v>
      </c>
      <c r="AI86" s="2" t="str">
        <f>"18002023006"</f>
        <v>18002023006</v>
      </c>
      <c r="AJ86" s="2">
        <v>30</v>
      </c>
      <c r="AK86" s="2">
        <v>6</v>
      </c>
      <c r="AL86" s="2" t="s">
        <v>42</v>
      </c>
      <c r="AM86" s="2" t="s">
        <v>43</v>
      </c>
      <c r="AN86" s="2">
        <v>2</v>
      </c>
      <c r="AO86" s="2">
        <v>2281</v>
      </c>
      <c r="AP86" s="2" t="s">
        <v>290</v>
      </c>
      <c r="AQ86" s="2"/>
      <c r="AR86" s="2" t="s">
        <v>330</v>
      </c>
      <c r="AS86" s="3" t="s">
        <v>331</v>
      </c>
      <c r="AT86" s="2" t="s">
        <v>117</v>
      </c>
      <c r="AU86" s="2" t="s">
        <v>117</v>
      </c>
      <c r="AV86" s="7">
        <v>72.849999999999994</v>
      </c>
      <c r="AW86" s="2">
        <v>4</v>
      </c>
      <c r="AX86" s="2"/>
      <c r="AY86" s="2"/>
    </row>
    <row r="87" spans="1:51" ht="18.75" customHeight="1">
      <c r="A87" t="str">
        <f>"100220181126093429526"</f>
        <v>100220181126093429526</v>
      </c>
      <c r="B87" s="9">
        <v>85</v>
      </c>
      <c r="C87" s="2" t="s">
        <v>286</v>
      </c>
      <c r="D87" s="2" t="str">
        <f>"秦颖"</f>
        <v>秦颖</v>
      </c>
      <c r="E87" s="2" t="str">
        <f>"女"</f>
        <v>女</v>
      </c>
      <c r="F87" s="2" t="str">
        <f>"1997-09-05"</f>
        <v>1997-09-05</v>
      </c>
      <c r="G87" s="2" t="str">
        <f>"321324199709051029"</f>
        <v>321324199709051029</v>
      </c>
      <c r="H87" s="2" t="str">
        <f>"江苏省泗洪县上塘镇上塘街71号"</f>
        <v>江苏省泗洪县上塘镇上塘街71号</v>
      </c>
      <c r="I87" s="2" t="str">
        <f>"应届生"</f>
        <v>应届生</v>
      </c>
      <c r="J87" s="2" t="str">
        <f t="shared" si="56"/>
        <v>无</v>
      </c>
      <c r="K87" s="2" t="str">
        <f>"2019.06"</f>
        <v>2019.06</v>
      </c>
      <c r="L87" s="2" t="str">
        <f t="shared" si="49"/>
        <v>学士</v>
      </c>
      <c r="M87" s="2" t="str">
        <f>"常州"</f>
        <v>常州</v>
      </c>
      <c r="N87" s="2" t="str">
        <f>"国际经济与贸易"</f>
        <v>国际经济与贸易</v>
      </c>
      <c r="O87" s="2" t="str">
        <f t="shared" si="50"/>
        <v>本科</v>
      </c>
      <c r="P87" s="2" t="str">
        <f>"162"</f>
        <v>162</v>
      </c>
      <c r="Q87" s="2" t="str">
        <f>"无"</f>
        <v>无</v>
      </c>
      <c r="R87" s="2" t="str">
        <f>"无"</f>
        <v>无</v>
      </c>
      <c r="S87" s="2" t="str">
        <f>"江苏省常州市常州大学西太湖校区"</f>
        <v>江苏省常州市常州大学西太湖校区</v>
      </c>
      <c r="T87" s="2" t="str">
        <f>"213161"</f>
        <v>213161</v>
      </c>
      <c r="U87" s="2" t="str">
        <f>"无"</f>
        <v>无</v>
      </c>
      <c r="V87" s="2" t="str">
        <f>"18306115589"</f>
        <v>18306115589</v>
      </c>
      <c r="W87" s="2" t="str">
        <f>"无"</f>
        <v>无</v>
      </c>
      <c r="X87" s="2" t="str">
        <f t="shared" si="26"/>
        <v>否</v>
      </c>
      <c r="Y87" s="2" t="str">
        <f>"全国大学英语六级"</f>
        <v>全国大学英语六级</v>
      </c>
      <c r="Z87" s="2" t="str">
        <f>"VFP二级"</f>
        <v>VFP二级</v>
      </c>
      <c r="AA87" s="2" t="str">
        <f>"父女|秦亚峰|江苏省泗洪县临淮镇政府|母女|宋体梅|江苏省泗洪县波司登||||||"</f>
        <v>父女|秦亚峰|江苏省泗洪县临淮镇政府|母女|宋体梅|江苏省泗洪县波司登||||||</v>
      </c>
      <c r="AB87" s="2" t="str">
        <f>"2012.09-2015.06 江苏省泗洪中学 学生_x000D_
2015.09至今 常州大学 学生"</f>
        <v>2012.09-2015.06 江苏省泗洪中学 学生_x000D_
2015.09至今 常州大学 学生</v>
      </c>
      <c r="AC87" s="2" t="str">
        <f>"本人大学在校期间表现优秀，学习成绩优异，获得国家奖学金、省级优秀学生干部、学生标兵等多项荣誉，现是一名中共预备党员。无不得报考情形。"</f>
        <v>本人大学在校期间表现优秀，学习成绩优异，获得国家奖学金、省级优秀学生干部、学生标兵等多项荣誉，现是一名中共预备党员。无不得报考情形。</v>
      </c>
      <c r="AD87" s="2" t="str">
        <f>""</f>
        <v/>
      </c>
      <c r="AE87" s="4">
        <v>43431.403229166666</v>
      </c>
      <c r="AF87" s="2">
        <v>1</v>
      </c>
      <c r="AG87" s="2">
        <v>1</v>
      </c>
      <c r="AH87" s="2">
        <v>3</v>
      </c>
      <c r="AI87" s="2" t="str">
        <f>"18002023526"</f>
        <v>18002023526</v>
      </c>
      <c r="AJ87" s="2">
        <v>35</v>
      </c>
      <c r="AK87" s="2">
        <v>26</v>
      </c>
      <c r="AL87" s="2" t="s">
        <v>42</v>
      </c>
      <c r="AM87" s="2" t="s">
        <v>43</v>
      </c>
      <c r="AN87" s="2">
        <v>2</v>
      </c>
      <c r="AO87" s="2">
        <v>7547</v>
      </c>
      <c r="AP87" s="2" t="s">
        <v>294</v>
      </c>
      <c r="AQ87" s="2"/>
      <c r="AR87" s="2" t="s">
        <v>330</v>
      </c>
      <c r="AS87" s="3" t="s">
        <v>331</v>
      </c>
      <c r="AT87" s="2" t="s">
        <v>117</v>
      </c>
      <c r="AU87" s="2" t="s">
        <v>117</v>
      </c>
      <c r="AV87" s="7">
        <v>72.7</v>
      </c>
      <c r="AW87" s="2">
        <v>5</v>
      </c>
      <c r="AX87" s="2"/>
      <c r="AY87" s="2"/>
    </row>
    <row r="88" spans="1:51" ht="18.75" customHeight="1">
      <c r="A88" t="str">
        <f>"1002201811261401461806"</f>
        <v>1002201811261401461806</v>
      </c>
      <c r="B88" s="9">
        <v>86</v>
      </c>
      <c r="C88" s="2" t="s">
        <v>286</v>
      </c>
      <c r="D88" s="2" t="str">
        <f>"夏丹"</f>
        <v>夏丹</v>
      </c>
      <c r="E88" s="2" t="str">
        <f>"女"</f>
        <v>女</v>
      </c>
      <c r="F88" s="2" t="str">
        <f>"1991-04-01"</f>
        <v>1991-04-01</v>
      </c>
      <c r="G88" s="2" t="str">
        <f>"321284199104011826"</f>
        <v>321284199104011826</v>
      </c>
      <c r="H88" s="2" t="str">
        <f>"江苏泰州"</f>
        <v>江苏泰州</v>
      </c>
      <c r="I88" s="2" t="str">
        <f>"非应届生"</f>
        <v>非应届生</v>
      </c>
      <c r="J88" s="2" t="str">
        <f t="shared" si="56"/>
        <v>无</v>
      </c>
      <c r="K88" s="2" t="str">
        <f>"2013.07"</f>
        <v>2013.07</v>
      </c>
      <c r="L88" s="2" t="str">
        <f t="shared" si="49"/>
        <v>学士</v>
      </c>
      <c r="M88" s="2" t="str">
        <f>"南京师范大学"</f>
        <v>南京师范大学</v>
      </c>
      <c r="N88" s="2" t="str">
        <f>"历史学（文化产业管理）"</f>
        <v>历史学（文化产业管理）</v>
      </c>
      <c r="O88" s="2" t="str">
        <f t="shared" si="50"/>
        <v>本科</v>
      </c>
      <c r="P88" s="2" t="str">
        <f>"162"</f>
        <v>162</v>
      </c>
      <c r="Q88" s="2" t="str">
        <f>"无"</f>
        <v>无</v>
      </c>
      <c r="R88" s="2" t="str">
        <f>"2013.07"</f>
        <v>2013.07</v>
      </c>
      <c r="S88" s="2" t="str">
        <f>"江苏省泰州市姜堰区中天新村24-103"</f>
        <v>江苏省泰州市姜堰区中天新村24-103</v>
      </c>
      <c r="T88" s="2" t="str">
        <f>"225500"</f>
        <v>225500</v>
      </c>
      <c r="U88" s="2" t="str">
        <f>"无"</f>
        <v>无</v>
      </c>
      <c r="V88" s="2" t="str">
        <f>"15952618992"</f>
        <v>15952618992</v>
      </c>
      <c r="W88" s="2" t="str">
        <f>"二级甲等"</f>
        <v>二级甲等</v>
      </c>
      <c r="X88" s="2" t="str">
        <f t="shared" si="26"/>
        <v>否</v>
      </c>
      <c r="Y88" s="2" t="str">
        <f>"6级"</f>
        <v>6级</v>
      </c>
      <c r="Z88" s="2" t="str">
        <f>"一级"</f>
        <v>一级</v>
      </c>
      <c r="AA88" s="2" t="str">
        <f>"父女|夏才贤|农民|母女|钱海燕|农名|夫妻|俞亮|正威集团|||"</f>
        <v>父女|夏才贤|农民|母女|钱海燕|农名|夫妻|俞亮|正威集团|||</v>
      </c>
      <c r="AB88" s="2" t="str">
        <f>"2006.09-2009.06 江苏省泰州市蒋垛中学 学生_x000D_
2009.09-2013.06 南京师范大学历史学院文化产业管理专业 学生_x000D_
2013.07至今 2015.07 励才实验学校 职员"</f>
        <v>2006.09-2009.06 江苏省泰州市蒋垛中学 学生_x000D_
2009.09-2013.06 南京师范大学历史学院文化产业管理专业 学生_x000D_
2013.07至今 2015.07 励才实验学校 职员</v>
      </c>
      <c r="AC88" s="2" t="str">
        <f>"无"</f>
        <v>无</v>
      </c>
      <c r="AD88" s="2" t="str">
        <f>""</f>
        <v/>
      </c>
      <c r="AE88" s="4">
        <v>43431.627534722225</v>
      </c>
      <c r="AF88" s="2">
        <v>1</v>
      </c>
      <c r="AG88" s="2">
        <v>1</v>
      </c>
      <c r="AH88" s="2">
        <v>3</v>
      </c>
      <c r="AI88" s="2" t="str">
        <f>"18002023013"</f>
        <v>18002023013</v>
      </c>
      <c r="AJ88" s="2">
        <v>30</v>
      </c>
      <c r="AK88" s="2">
        <v>13</v>
      </c>
      <c r="AL88" s="2" t="s">
        <v>42</v>
      </c>
      <c r="AM88" s="2" t="s">
        <v>43</v>
      </c>
      <c r="AN88" s="2">
        <v>2</v>
      </c>
      <c r="AO88" s="2">
        <v>2440</v>
      </c>
      <c r="AP88" s="2" t="s">
        <v>291</v>
      </c>
      <c r="AQ88" s="2"/>
      <c r="AR88" s="2" t="s">
        <v>330</v>
      </c>
      <c r="AS88" s="3" t="s">
        <v>331</v>
      </c>
      <c r="AT88" s="2" t="s">
        <v>117</v>
      </c>
      <c r="AU88" s="2" t="s">
        <v>117</v>
      </c>
      <c r="AV88" s="7">
        <v>72.45</v>
      </c>
      <c r="AW88" s="2">
        <v>6</v>
      </c>
      <c r="AX88" s="2"/>
      <c r="AY88" s="2"/>
    </row>
    <row r="89" spans="1:51" ht="18.75" customHeight="1">
      <c r="A89" t="str">
        <f>"1002201811271302493650"</f>
        <v>1002201811271302493650</v>
      </c>
      <c r="B89" s="9">
        <v>87</v>
      </c>
      <c r="C89" s="2" t="s">
        <v>286</v>
      </c>
      <c r="D89" s="2" t="str">
        <f>"周哲远"</f>
        <v>周哲远</v>
      </c>
      <c r="E89" s="2" t="str">
        <f>"男"</f>
        <v>男</v>
      </c>
      <c r="F89" s="2" t="str">
        <f>"1996-07-08"</f>
        <v>1996-07-08</v>
      </c>
      <c r="G89" s="2" t="str">
        <f>"320602199607086519"</f>
        <v>320602199607086519</v>
      </c>
      <c r="H89" s="2" t="str">
        <f>"江苏省通州市"</f>
        <v>江苏省通州市</v>
      </c>
      <c r="I89" s="2" t="str">
        <f>"应届生"</f>
        <v>应届生</v>
      </c>
      <c r="J89" s="2" t="str">
        <f t="shared" si="56"/>
        <v>无</v>
      </c>
      <c r="K89" s="2" t="str">
        <f>"2018年6月"</f>
        <v>2018年6月</v>
      </c>
      <c r="L89" s="2" t="str">
        <f t="shared" si="49"/>
        <v>学士</v>
      </c>
      <c r="M89" s="2" t="str">
        <f>"西北民族大学"</f>
        <v>西北民族大学</v>
      </c>
      <c r="N89" s="2" t="str">
        <f>"社会工作"</f>
        <v>社会工作</v>
      </c>
      <c r="O89" s="2" t="str">
        <f t="shared" si="50"/>
        <v>本科</v>
      </c>
      <c r="P89" s="2" t="str">
        <f>"173cm"</f>
        <v>173cm</v>
      </c>
      <c r="Q89" s="2" t="str">
        <f>"无"</f>
        <v>无</v>
      </c>
      <c r="R89" s="2" t="str">
        <f>"无"</f>
        <v>无</v>
      </c>
      <c r="S89" s="2" t="str">
        <f>"江苏省南通市崇川区天都花苑25幢505室"</f>
        <v>江苏省南通市崇川区天都花苑25幢505室</v>
      </c>
      <c r="T89" s="2" t="str">
        <f>"226001"</f>
        <v>226001</v>
      </c>
      <c r="U89" s="2" t="str">
        <f>"051359001298"</f>
        <v>051359001298</v>
      </c>
      <c r="V89" s="2" t="str">
        <f>"18912410807"</f>
        <v>18912410807</v>
      </c>
      <c r="W89" s="2" t="str">
        <f>"二级甲等"</f>
        <v>二级甲等</v>
      </c>
      <c r="X89" s="2" t="str">
        <f t="shared" si="26"/>
        <v>否</v>
      </c>
      <c r="Y89" s="2" t="str">
        <f>"大学英语四级"</f>
        <v>大学英语四级</v>
      </c>
      <c r="Z89" s="2" t="str">
        <f>"全国计算机等级二级"</f>
        <v>全国计算机等级二级</v>
      </c>
      <c r="AA89" s="2" t="str">
        <f>"父子|周斌|江苏省南通市医疗保险基金管理中心|母子|浦爱萍|江苏省南通市华氏大药房||||||"</f>
        <v>父子|周斌|江苏省南通市医疗保险基金管理中心|母子|浦爱萍|江苏省南通市华氏大药房||||||</v>
      </c>
      <c r="AB89" s="2" t="str">
        <f>"2011.09-2014.07 江苏省南通市南通大学附属中学 学生_x000D_
2014.09-2018.06 西北民族大学 学生"</f>
        <v>2011.09-2014.07 江苏省南通市南通大学附属中学 学生_x000D_
2014.09-2018.06 西北民族大学 学生</v>
      </c>
      <c r="AC89" s="2" t="str">
        <f>"201510 荣获西北民族大学2014-2015学年度“优秀学生干部”奖学金_x000D_
201605 荣获西北民族大学“优秀共青团干部”称号_x000D_
201610 荣获2015-2016学年度“优秀学生干部”奖学金_x000D_
2016年 负责国家级大学生创新创业训练计划项目《甘肃省社会工作者职业认同研究》并顺利结项"</f>
        <v>201510 荣获西北民族大学2014-2015学年度“优秀学生干部”奖学金_x000D_
201605 荣获西北民族大学“优秀共青团干部”称号_x000D_
201610 荣获2015-2016学年度“优秀学生干部”奖学金_x000D_
2016年 负责国家级大学生创新创业训练计划项目《甘肃省社会工作者职业认同研究》并顺利结项</v>
      </c>
      <c r="AD89" s="2" t="str">
        <f>""</f>
        <v/>
      </c>
      <c r="AE89" s="4">
        <v>43432.583252314813</v>
      </c>
      <c r="AF89" s="2">
        <v>1</v>
      </c>
      <c r="AG89" s="2">
        <v>1</v>
      </c>
      <c r="AH89" s="2">
        <v>3</v>
      </c>
      <c r="AI89" s="2" t="str">
        <f>"18002023417"</f>
        <v>18002023417</v>
      </c>
      <c r="AJ89" s="2">
        <v>34</v>
      </c>
      <c r="AK89" s="2">
        <v>17</v>
      </c>
      <c r="AL89" s="2" t="s">
        <v>42</v>
      </c>
      <c r="AM89" s="2" t="s">
        <v>43</v>
      </c>
      <c r="AN89" s="2">
        <v>2</v>
      </c>
      <c r="AO89" s="2">
        <v>6244</v>
      </c>
      <c r="AP89" s="2" t="s">
        <v>293</v>
      </c>
      <c r="AQ89" s="2"/>
      <c r="AR89" s="2" t="s">
        <v>330</v>
      </c>
      <c r="AS89" s="3" t="s">
        <v>331</v>
      </c>
      <c r="AT89" s="2" t="s">
        <v>117</v>
      </c>
      <c r="AU89" s="2" t="s">
        <v>117</v>
      </c>
      <c r="AV89" s="7">
        <v>72.45</v>
      </c>
      <c r="AW89" s="2">
        <v>6</v>
      </c>
      <c r="AX89" s="2"/>
      <c r="AY89" s="2"/>
    </row>
    <row r="90" spans="1:51" ht="18.75" customHeight="1">
      <c r="A90" t="str">
        <f>"1002201811271706213980"</f>
        <v>1002201811271706213980</v>
      </c>
      <c r="B90" s="9">
        <v>88</v>
      </c>
      <c r="C90" s="2" t="s">
        <v>295</v>
      </c>
      <c r="D90" s="2" t="str">
        <f>"薛悦"</f>
        <v>薛悦</v>
      </c>
      <c r="E90" s="2" t="str">
        <f t="shared" ref="E90:E95" si="57">"女"</f>
        <v>女</v>
      </c>
      <c r="F90" s="2" t="str">
        <f>"1992-02-17"</f>
        <v>1992-02-17</v>
      </c>
      <c r="G90" s="2" t="str">
        <f>"320682199202170044"</f>
        <v>320682199202170044</v>
      </c>
      <c r="H90" s="2" t="str">
        <f>"江苏南通"</f>
        <v>江苏南通</v>
      </c>
      <c r="I90" s="2" t="str">
        <f>"非应届生"</f>
        <v>非应届生</v>
      </c>
      <c r="J90" s="2" t="str">
        <f>"无"</f>
        <v>无</v>
      </c>
      <c r="K90" s="2" t="str">
        <f>"2014.7"</f>
        <v>2014.7</v>
      </c>
      <c r="L90" s="2" t="str">
        <f t="shared" si="49"/>
        <v>学士</v>
      </c>
      <c r="M90" s="2" t="str">
        <f>"南京医科大学"</f>
        <v>南京医科大学</v>
      </c>
      <c r="N90" s="2" t="str">
        <f>"公共事业管理"</f>
        <v>公共事业管理</v>
      </c>
      <c r="O90" s="2" t="str">
        <f t="shared" si="50"/>
        <v>本科</v>
      </c>
      <c r="P90" s="2" t="str">
        <f>"166"</f>
        <v>166</v>
      </c>
      <c r="Q90" s="2" t="str">
        <f>"江苏有线如皋分公司"</f>
        <v>江苏有线如皋分公司</v>
      </c>
      <c r="R90" s="2" t="str">
        <f>"2014.7"</f>
        <v>2014.7</v>
      </c>
      <c r="S90" s="2" t="str">
        <f>"江苏省如皋市长江镇郭南村12组"</f>
        <v>江苏省如皋市长江镇郭南村12组</v>
      </c>
      <c r="T90" s="2" t="str">
        <f>"226500"</f>
        <v>226500</v>
      </c>
      <c r="U90" s="2" t="str">
        <f>"87917889"</f>
        <v>87917889</v>
      </c>
      <c r="V90" s="2" t="str">
        <f>"15151352856"</f>
        <v>15151352856</v>
      </c>
      <c r="W90" s="2" t="str">
        <f>"无"</f>
        <v>无</v>
      </c>
      <c r="X90" s="2" t="str">
        <f t="shared" si="26"/>
        <v>否</v>
      </c>
      <c r="Y90" s="2" t="str">
        <f>"英语四级"</f>
        <v>英语四级</v>
      </c>
      <c r="Z90" s="2" t="str">
        <f>"江苏省计算机二级"</f>
        <v>江苏省计算机二级</v>
      </c>
      <c r="AA90" s="2" t="str">
        <f>"父亲|薛新元|如皋市元华水洗厂|母亲|吉桂华|退休||||||"</f>
        <v>父亲|薛新元|如皋市元华水洗厂|母亲|吉桂华|退休||||||</v>
      </c>
      <c r="AB90" s="2" t="str">
        <f>"2007.9-2010.7  白蒲高级中学 学生_x000D_
2010.9-2014.7  南京医科大学公共事业管理专业 学生_x000D_
2014.7-2014.12 扬子江药业 职员_x000D_
2015.3-2016.3  如皋市元华水洗厂 职员_x000D_
2016.9-至今    江苏有线如皋分公司 职员"</f>
        <v>2007.9-2010.7  白蒲高级中学 学生_x000D_
2010.9-2014.7  南京医科大学公共事业管理专业 学生_x000D_
2014.7-2014.12 扬子江药业 职员_x000D_
2015.3-2016.3  如皋市元华水洗厂 职员_x000D_
2016.9-至今    江苏有线如皋分公司 职员</v>
      </c>
      <c r="AC90" s="2" t="str">
        <f>"无"</f>
        <v>无</v>
      </c>
      <c r="AD90" s="2" t="str">
        <f>""</f>
        <v/>
      </c>
      <c r="AE90" s="4">
        <v>43432.588090277779</v>
      </c>
      <c r="AF90" s="2">
        <v>1</v>
      </c>
      <c r="AG90" s="2">
        <v>1</v>
      </c>
      <c r="AH90" s="2">
        <v>2</v>
      </c>
      <c r="AI90" s="2" t="str">
        <f>"18002024005"</f>
        <v>18002024005</v>
      </c>
      <c r="AJ90" s="2">
        <v>40</v>
      </c>
      <c r="AK90" s="2">
        <v>5</v>
      </c>
      <c r="AL90" s="2" t="s">
        <v>42</v>
      </c>
      <c r="AM90" s="2" t="s">
        <v>43</v>
      </c>
      <c r="AN90" s="2">
        <v>2</v>
      </c>
      <c r="AO90" s="2">
        <v>1385</v>
      </c>
      <c r="AP90" s="2" t="s">
        <v>46</v>
      </c>
      <c r="AQ90" s="2"/>
      <c r="AR90" s="2" t="s">
        <v>330</v>
      </c>
      <c r="AS90" s="3" t="s">
        <v>331</v>
      </c>
      <c r="AT90" s="2" t="s">
        <v>117</v>
      </c>
      <c r="AU90" s="2" t="s">
        <v>117</v>
      </c>
      <c r="AV90" s="7">
        <v>76.650000000000006</v>
      </c>
      <c r="AW90" s="2">
        <v>1</v>
      </c>
      <c r="AX90" s="2"/>
      <c r="AY90" s="2"/>
    </row>
    <row r="91" spans="1:51" ht="18.75" customHeight="1">
      <c r="A91" t="str">
        <f>"1002201811291331165853"</f>
        <v>1002201811291331165853</v>
      </c>
      <c r="B91" s="9">
        <v>89</v>
      </c>
      <c r="C91" s="2" t="s">
        <v>295</v>
      </c>
      <c r="D91" s="2" t="str">
        <f>"顾娟"</f>
        <v>顾娟</v>
      </c>
      <c r="E91" s="2" t="str">
        <f t="shared" si="57"/>
        <v>女</v>
      </c>
      <c r="F91" s="2" t="str">
        <f>"1990-04-22"</f>
        <v>1990-04-22</v>
      </c>
      <c r="G91" s="2" t="str">
        <f>"320682199004224080"</f>
        <v>320682199004224080</v>
      </c>
      <c r="H91" s="2" t="str">
        <f>"江苏如皋"</f>
        <v>江苏如皋</v>
      </c>
      <c r="I91" s="2" t="str">
        <f>"非应届生"</f>
        <v>非应届生</v>
      </c>
      <c r="J91" s="2" t="str">
        <f>"助理社会工作师"</f>
        <v>助理社会工作师</v>
      </c>
      <c r="K91" s="2" t="str">
        <f>"2012.06"</f>
        <v>2012.06</v>
      </c>
      <c r="L91" s="2" t="str">
        <f t="shared" si="49"/>
        <v>学士</v>
      </c>
      <c r="M91" s="2" t="str">
        <f>"江苏师范大学"</f>
        <v>江苏师范大学</v>
      </c>
      <c r="N91" s="2" t="str">
        <f>"行政管理"</f>
        <v>行政管理</v>
      </c>
      <c r="O91" s="2" t="str">
        <f t="shared" si="50"/>
        <v>本科</v>
      </c>
      <c r="P91" s="2" t="str">
        <f>"162"</f>
        <v>162</v>
      </c>
      <c r="Q91" s="2" t="str">
        <f>"如皋市长江镇人民政府"</f>
        <v>如皋市长江镇人民政府</v>
      </c>
      <c r="R91" s="2" t="str">
        <f>"2012.08"</f>
        <v>2012.08</v>
      </c>
      <c r="S91" s="2" t="str">
        <f>"江苏省如皋市长江镇郭园居委会八组9号"</f>
        <v>江苏省如皋市长江镇郭园居委会八组9号</v>
      </c>
      <c r="T91" s="2" t="str">
        <f>"226500"</f>
        <v>226500</v>
      </c>
      <c r="U91" s="2" t="str">
        <f>"051387917873"</f>
        <v>051387917873</v>
      </c>
      <c r="V91" s="2" t="str">
        <f>"18252823448"</f>
        <v>18252823448</v>
      </c>
      <c r="W91" s="2" t="str">
        <f>"无"</f>
        <v>无</v>
      </c>
      <c r="X91" s="2" t="str">
        <f t="shared" si="26"/>
        <v>否</v>
      </c>
      <c r="Y91" s="2" t="str">
        <f>"CET-4"</f>
        <v>CET-4</v>
      </c>
      <c r="Z91" s="2" t="str">
        <f>"江苏省计算机二级"</f>
        <v>江苏省计算机二级</v>
      </c>
      <c r="AA91" s="2" t="str">
        <f>"配偶|朱幸飞|北京首海国际经济技术咨询服务有限公司|父亲|顾龙山|无|母亲|沙美林|无|||"</f>
        <v>配偶|朱幸飞|北京首海国际经济技术咨询服务有限公司|父亲|顾龙山|无|母亲|沙美林|无|||</v>
      </c>
      <c r="AB91" s="2" t="str">
        <f>"2005.09-2008.06 如皋市薛窑中学 学生_x000D_
2008.09-2012.06 江苏师范大学行政管理专业  学生_x000D_
2012.08-2013.03 如皋市郭园镇郭园司法所 专业社工_x000D_
2013.03-2015.03 如皋市长江镇社会管理服务中心 专业社工_x000D_
2015.03-2017.02 如皋市长江镇郭园工业园区 工作人员_x000D_
2017.02至今 如皋市长江镇郭园工业园区 总经理助理_x000D_
"</f>
        <v xml:space="preserve">2005.09-2008.06 如皋市薛窑中学 学生_x000D_
2008.09-2012.06 江苏师范大学行政管理专业  学生_x000D_
2012.08-2013.03 如皋市郭园镇郭园司法所 专业社工_x000D_
2013.03-2015.03 如皋市长江镇社会管理服务中心 专业社工_x000D_
2015.03-2017.02 如皋市长江镇郭园工业园区 工作人员_x000D_
2017.02至今 如皋市长江镇郭园工业园区 总经理助理_x000D_
</v>
      </c>
      <c r="AC91" s="2" t="str">
        <f>"无"</f>
        <v>无</v>
      </c>
      <c r="AD91" s="2" t="str">
        <f>""</f>
        <v/>
      </c>
      <c r="AE91" s="4">
        <v>43433.7655787037</v>
      </c>
      <c r="AF91" s="2">
        <v>1</v>
      </c>
      <c r="AG91" s="2">
        <v>1</v>
      </c>
      <c r="AH91" s="2">
        <v>2</v>
      </c>
      <c r="AI91" s="2" t="str">
        <f>"18002024920"</f>
        <v>18002024920</v>
      </c>
      <c r="AJ91" s="2">
        <v>49</v>
      </c>
      <c r="AK91" s="2">
        <v>20</v>
      </c>
      <c r="AL91" s="2" t="s">
        <v>42</v>
      </c>
      <c r="AM91" s="2" t="s">
        <v>43</v>
      </c>
      <c r="AN91" s="2">
        <v>2</v>
      </c>
      <c r="AO91" s="2">
        <v>9639</v>
      </c>
      <c r="AP91" s="2" t="s">
        <v>298</v>
      </c>
      <c r="AQ91" s="2"/>
      <c r="AR91" s="2" t="s">
        <v>330</v>
      </c>
      <c r="AS91" s="3" t="s">
        <v>331</v>
      </c>
      <c r="AT91" s="2" t="s">
        <v>117</v>
      </c>
      <c r="AU91" s="2" t="s">
        <v>117</v>
      </c>
      <c r="AV91" s="7">
        <v>75.5</v>
      </c>
      <c r="AW91" s="2">
        <v>2</v>
      </c>
      <c r="AX91" s="2"/>
      <c r="AY91" s="2"/>
    </row>
    <row r="92" spans="1:51" ht="18.75" customHeight="1">
      <c r="A92" t="str">
        <f>"1002201811282229435402"</f>
        <v>1002201811282229435402</v>
      </c>
      <c r="B92" s="9">
        <v>90</v>
      </c>
      <c r="C92" s="2" t="s">
        <v>295</v>
      </c>
      <c r="D92" s="2" t="str">
        <f>"孙月"</f>
        <v>孙月</v>
      </c>
      <c r="E92" s="2" t="str">
        <f t="shared" si="57"/>
        <v>女</v>
      </c>
      <c r="F92" s="2" t="str">
        <f>"1997-02-13"</f>
        <v>1997-02-13</v>
      </c>
      <c r="G92" s="2" t="str">
        <f>"320621199702130046"</f>
        <v>320621199702130046</v>
      </c>
      <c r="H92" s="2" t="str">
        <f>"江苏省苏州市工业园区"</f>
        <v>江苏省苏州市工业园区</v>
      </c>
      <c r="I92" s="2" t="str">
        <f>"应届生"</f>
        <v>应届生</v>
      </c>
      <c r="J92" s="2" t="str">
        <f t="shared" ref="J92:J106" si="58">"无"</f>
        <v>无</v>
      </c>
      <c r="K92" s="2" t="str">
        <f>"2019.6"</f>
        <v>2019.6</v>
      </c>
      <c r="L92" s="2" t="str">
        <f t="shared" si="49"/>
        <v>学士</v>
      </c>
      <c r="M92" s="2" t="str">
        <f>"苏州大学"</f>
        <v>苏州大学</v>
      </c>
      <c r="N92" s="2" t="str">
        <f>"行政管理"</f>
        <v>行政管理</v>
      </c>
      <c r="O92" s="2" t="str">
        <f t="shared" si="50"/>
        <v>本科</v>
      </c>
      <c r="P92" s="2" t="str">
        <f>"170"</f>
        <v>170</v>
      </c>
      <c r="Q92" s="2" t="str">
        <f>"无"</f>
        <v>无</v>
      </c>
      <c r="R92" s="2" t="str">
        <f>"无"</f>
        <v>无</v>
      </c>
      <c r="S92" s="2" t="str">
        <f>"苏州大学独墅湖校区一期仁爱路199号"</f>
        <v>苏州大学独墅湖校区一期仁爱路199号</v>
      </c>
      <c r="T92" s="2" t="str">
        <f>"215000"</f>
        <v>215000</v>
      </c>
      <c r="U92" s="2" t="str">
        <f>"0513-88817629"</f>
        <v>0513-88817629</v>
      </c>
      <c r="V92" s="2" t="str">
        <f>"18896927522"</f>
        <v>18896927522</v>
      </c>
      <c r="W92" s="2" t="str">
        <f>"无"</f>
        <v>无</v>
      </c>
      <c r="X92" s="2" t="str">
        <f t="shared" si="26"/>
        <v>否</v>
      </c>
      <c r="Y92" s="2" t="str">
        <f>"英语四六级"</f>
        <v>英语四六级</v>
      </c>
      <c r="Z92" s="2" t="str">
        <f>"计算机二级"</f>
        <v>计算机二级</v>
      </c>
      <c r="AA92" s="2" t="str">
        <f>"父亲|孙加平|南通嘉加玲纺织有限公司|母亲|徐忠娟|南通嘉加玲纺织有限公司||||||"</f>
        <v>父亲|孙加平|南通嘉加玲纺织有限公司|母亲|徐忠娟|南通嘉加玲纺织有限公司||||||</v>
      </c>
      <c r="AB92" s="2" t="str">
        <f>"2012.9-2015.6 江苏省海安高级中学 学生_x000D_
2015.9-2019.6 苏州大学政治与公共管理学院行政管理专业 学生_x000D_
2016.9-2018.6 苏州大学王建法学院法学双学位专业 学生"</f>
        <v>2012.9-2015.6 江苏省海安高级中学 学生_x000D_
2015.9-2019.6 苏州大学政治与公共管理学院行政管理专业 学生_x000D_
2016.9-2018.6 苏州大学王建法学院法学双学位专业 学生</v>
      </c>
      <c r="AC92" s="2" t="str">
        <f>"本科行政管理；还有法学双学位。"</f>
        <v>本科行政管理；还有法学双学位。</v>
      </c>
      <c r="AD92" s="2" t="str">
        <f>""</f>
        <v/>
      </c>
      <c r="AE92" s="4">
        <v>43433.409224537034</v>
      </c>
      <c r="AF92" s="2">
        <v>1</v>
      </c>
      <c r="AG92" s="2">
        <v>1</v>
      </c>
      <c r="AH92" s="2">
        <v>5</v>
      </c>
      <c r="AI92" s="2" t="str">
        <f>"18002024328"</f>
        <v>18002024328</v>
      </c>
      <c r="AJ92" s="2">
        <v>43</v>
      </c>
      <c r="AK92" s="2">
        <v>28</v>
      </c>
      <c r="AL92" s="2" t="s">
        <v>42</v>
      </c>
      <c r="AM92" s="2" t="s">
        <v>43</v>
      </c>
      <c r="AN92" s="2">
        <v>2</v>
      </c>
      <c r="AO92" s="2">
        <v>4356</v>
      </c>
      <c r="AP92" s="2" t="s">
        <v>296</v>
      </c>
      <c r="AQ92" s="2"/>
      <c r="AR92" s="2" t="s">
        <v>330</v>
      </c>
      <c r="AS92" s="3" t="s">
        <v>331</v>
      </c>
      <c r="AT92" s="2" t="s">
        <v>117</v>
      </c>
      <c r="AU92" s="2" t="s">
        <v>117</v>
      </c>
      <c r="AV92" s="7">
        <v>73.099999999999994</v>
      </c>
      <c r="AW92" s="2">
        <v>3</v>
      </c>
      <c r="AX92" s="2"/>
      <c r="AY92" s="2"/>
    </row>
    <row r="93" spans="1:51" ht="18.75" customHeight="1">
      <c r="A93" t="str">
        <f>"1002201811271130473530"</f>
        <v>1002201811271130473530</v>
      </c>
      <c r="B93" s="9">
        <v>91</v>
      </c>
      <c r="C93" s="2" t="s">
        <v>295</v>
      </c>
      <c r="D93" s="2" t="str">
        <f>"冒宏娟"</f>
        <v>冒宏娟</v>
      </c>
      <c r="E93" s="2" t="str">
        <f t="shared" si="57"/>
        <v>女</v>
      </c>
      <c r="F93" s="2" t="str">
        <f>"1987-10-01"</f>
        <v>1987-10-01</v>
      </c>
      <c r="G93" s="2" t="str">
        <f>"320682198710011141"</f>
        <v>320682198710011141</v>
      </c>
      <c r="H93" s="2" t="str">
        <f>"如皋"</f>
        <v>如皋</v>
      </c>
      <c r="I93" s="2" t="str">
        <f>"非应届生"</f>
        <v>非应届生</v>
      </c>
      <c r="J93" s="2" t="str">
        <f t="shared" si="58"/>
        <v>无</v>
      </c>
      <c r="K93" s="2" t="str">
        <f>"2010.7"</f>
        <v>2010.7</v>
      </c>
      <c r="L93" s="2" t="str">
        <f t="shared" si="49"/>
        <v>学士</v>
      </c>
      <c r="M93" s="2" t="str">
        <f>"苏州科技学院"</f>
        <v>苏州科技学院</v>
      </c>
      <c r="N93" s="2" t="str">
        <f>"工商管理"</f>
        <v>工商管理</v>
      </c>
      <c r="O93" s="2" t="str">
        <f t="shared" si="50"/>
        <v>本科</v>
      </c>
      <c r="P93" s="2" t="str">
        <f>"160"</f>
        <v>160</v>
      </c>
      <c r="Q93" s="2" t="str">
        <f>"如皋市总工会"</f>
        <v>如皋市总工会</v>
      </c>
      <c r="R93" s="2" t="str">
        <f>"2016.4"</f>
        <v>2016.4</v>
      </c>
      <c r="S93" s="2" t="str">
        <f>"东陈镇政府"</f>
        <v>东陈镇政府</v>
      </c>
      <c r="T93" s="2" t="str">
        <f>"226500"</f>
        <v>226500</v>
      </c>
      <c r="U93" s="2" t="str">
        <f>"13236081598"</f>
        <v>13236081598</v>
      </c>
      <c r="V93" s="2" t="str">
        <f>"13142666156"</f>
        <v>13142666156</v>
      </c>
      <c r="W93" s="2" t="str">
        <f>"无"</f>
        <v>无</v>
      </c>
      <c r="X93" s="2" t="str">
        <f t="shared" si="26"/>
        <v>否</v>
      </c>
      <c r="Y93" s="2" t="str">
        <f>"4级"</f>
        <v>4级</v>
      </c>
      <c r="Z93" s="2" t="str">
        <f>"2级"</f>
        <v>2级</v>
      </c>
      <c r="AA93" s="2" t="str">
        <f>"夫|沈海龙|无|女|沈昕愉|幼儿||||||"</f>
        <v>夫|沈海龙|无|女|沈昕愉|幼儿||||||</v>
      </c>
      <c r="AB93" s="2" t="str">
        <f>"2003.09-2006.06  江苏省白蒲高级中学         学生_x000D_
2006.09-2010.06  苏州科技学院 工商管理专业  学生_x000D_
2010.07-2013.10  江苏德邦物流 职员_x000D_
2013.11-2016.03  无_x000D_
2016.04-至今     如皋市总工会_x000D_
"</f>
        <v xml:space="preserve">2003.09-2006.06  江苏省白蒲高级中学         学生_x000D_
2006.09-2010.06  苏州科技学院 工商管理专业  学生_x000D_
2010.07-2013.10  江苏德邦物流 职员_x000D_
2013.11-2016.03  无_x000D_
2016.04-至今     如皋市总工会_x000D_
</v>
      </c>
      <c r="AC93" s="2" t="str">
        <f>"无"</f>
        <v>无</v>
      </c>
      <c r="AD93" s="2" t="str">
        <f>""</f>
        <v/>
      </c>
      <c r="AE93" s="4">
        <v>43431.812349537038</v>
      </c>
      <c r="AF93" s="2">
        <v>1</v>
      </c>
      <c r="AG93" s="2">
        <v>1</v>
      </c>
      <c r="AH93" s="2">
        <v>2</v>
      </c>
      <c r="AI93" s="2" t="str">
        <f>"18002024317"</f>
        <v>18002024317</v>
      </c>
      <c r="AJ93" s="2">
        <v>43</v>
      </c>
      <c r="AK93" s="2">
        <v>17</v>
      </c>
      <c r="AL93" s="2" t="s">
        <v>42</v>
      </c>
      <c r="AM93" s="2" t="s">
        <v>43</v>
      </c>
      <c r="AN93" s="2">
        <v>2</v>
      </c>
      <c r="AO93" s="2">
        <v>3944</v>
      </c>
      <c r="AP93" s="2" t="s">
        <v>46</v>
      </c>
      <c r="AQ93" s="2"/>
      <c r="AR93" s="2" t="s">
        <v>330</v>
      </c>
      <c r="AS93" s="3" t="s">
        <v>331</v>
      </c>
      <c r="AT93" s="2" t="s">
        <v>117</v>
      </c>
      <c r="AU93" s="2" t="s">
        <v>117</v>
      </c>
      <c r="AV93" s="7">
        <v>72.95</v>
      </c>
      <c r="AW93" s="2">
        <v>4</v>
      </c>
      <c r="AX93" s="2"/>
      <c r="AY93" s="2"/>
    </row>
    <row r="94" spans="1:51" ht="18.75" customHeight="1">
      <c r="A94" t="str">
        <f>"1002201811261324521693"</f>
        <v>1002201811261324521693</v>
      </c>
      <c r="B94" s="9">
        <v>92</v>
      </c>
      <c r="C94" s="2" t="s">
        <v>295</v>
      </c>
      <c r="D94" s="2" t="str">
        <f>"宋睿"</f>
        <v>宋睿</v>
      </c>
      <c r="E94" s="2" t="str">
        <f t="shared" si="57"/>
        <v>女</v>
      </c>
      <c r="F94" s="2" t="str">
        <f>"1995-12-12"</f>
        <v>1995-12-12</v>
      </c>
      <c r="G94" s="2" t="str">
        <f>"320911199512120625"</f>
        <v>320911199512120625</v>
      </c>
      <c r="H94" s="2" t="str">
        <f>"江苏盐城"</f>
        <v>江苏盐城</v>
      </c>
      <c r="I94" s="2" t="str">
        <f>"非应届生"</f>
        <v>非应届生</v>
      </c>
      <c r="J94" s="2" t="str">
        <f t="shared" si="58"/>
        <v>无</v>
      </c>
      <c r="K94" s="2" t="str">
        <f>"2017.7"</f>
        <v>2017.7</v>
      </c>
      <c r="L94" s="2" t="str">
        <f t="shared" si="49"/>
        <v>学士</v>
      </c>
      <c r="M94" s="2" t="str">
        <f>"南京航空航天大学金城学院"</f>
        <v>南京航空航天大学金城学院</v>
      </c>
      <c r="N94" s="2" t="str">
        <f>"工商管理"</f>
        <v>工商管理</v>
      </c>
      <c r="O94" s="2" t="str">
        <f t="shared" si="50"/>
        <v>本科</v>
      </c>
      <c r="P94" s="2" t="str">
        <f>"168"</f>
        <v>168</v>
      </c>
      <c r="Q94" s="2" t="str">
        <f>"盐城市妇联"</f>
        <v>盐城市妇联</v>
      </c>
      <c r="R94" s="2" t="str">
        <f>"2017.08"</f>
        <v>2017.08</v>
      </c>
      <c r="S94" s="2" t="str">
        <f>"江苏省盐城市亭湖区金色华庭小区"</f>
        <v>江苏省盐城市亭湖区金色华庭小区</v>
      </c>
      <c r="T94" s="2" t="str">
        <f>"224000"</f>
        <v>224000</v>
      </c>
      <c r="U94" s="2" t="str">
        <f>"18861970919"</f>
        <v>18861970919</v>
      </c>
      <c r="V94" s="2" t="str">
        <f>"18861970919"</f>
        <v>18861970919</v>
      </c>
      <c r="W94" s="2" t="str">
        <f>"二级甲"</f>
        <v>二级甲</v>
      </c>
      <c r="X94" s="2" t="str">
        <f t="shared" si="26"/>
        <v>否</v>
      </c>
      <c r="Y94" s="2" t="str">
        <f>"较好"</f>
        <v>较好</v>
      </c>
      <c r="Z94" s="2" t="str">
        <f>"较熟练"</f>
        <v>较熟练</v>
      </c>
      <c r="AA94" s="2" t="str">
        <f>"父亲|宋权彬|江苏松源机械制造有限公司副总经理|父亲|王海珍|个体经营户||||||"</f>
        <v>父亲|宋权彬|江苏松源机械制造有限公司副总经理|父亲|王海珍|个体经营户||||||</v>
      </c>
      <c r="AB94" s="2" t="str">
        <f>"2010.9-2013.7  就读于盐城市第一中学_x000D_
2013.9-2017.6   就读于南京航空航天大学金城学院_x000D_
2017.8至今    盐城市妇联大学生志愿者"</f>
        <v>2010.9-2013.7  就读于盐城市第一中学_x000D_
2013.9-2017.6   就读于南京航空航天大学金城学院_x000D_
2017.8至今    盐城市妇联大学生志愿者</v>
      </c>
      <c r="AC94" s="2" t="str">
        <f>"无"</f>
        <v>无</v>
      </c>
      <c r="AD94" s="2" t="str">
        <f>""</f>
        <v/>
      </c>
      <c r="AE94" s="4">
        <v>43431.618356481478</v>
      </c>
      <c r="AF94" s="2">
        <v>1</v>
      </c>
      <c r="AG94" s="2">
        <v>1</v>
      </c>
      <c r="AH94" s="2">
        <v>2</v>
      </c>
      <c r="AI94" s="2" t="str">
        <f>"18002024725"</f>
        <v>18002024725</v>
      </c>
      <c r="AJ94" s="2">
        <v>47</v>
      </c>
      <c r="AK94" s="2">
        <v>25</v>
      </c>
      <c r="AL94" s="2" t="s">
        <v>42</v>
      </c>
      <c r="AM94" s="2" t="s">
        <v>43</v>
      </c>
      <c r="AN94" s="2">
        <v>2</v>
      </c>
      <c r="AO94" s="2">
        <v>8063</v>
      </c>
      <c r="AP94" s="2" t="s">
        <v>297</v>
      </c>
      <c r="AQ94" s="2"/>
      <c r="AR94" s="2" t="s">
        <v>330</v>
      </c>
      <c r="AS94" s="3" t="s">
        <v>331</v>
      </c>
      <c r="AT94" s="2" t="s">
        <v>117</v>
      </c>
      <c r="AU94" s="2" t="s">
        <v>117</v>
      </c>
      <c r="AV94" s="7">
        <v>72.8</v>
      </c>
      <c r="AW94" s="2">
        <v>5</v>
      </c>
      <c r="AX94" s="2"/>
      <c r="AY94" s="2"/>
    </row>
    <row r="95" spans="1:51" ht="18.75" customHeight="1">
      <c r="A95" t="str">
        <f>"1002201811261730562388"</f>
        <v>1002201811261730562388</v>
      </c>
      <c r="B95" s="9">
        <v>93</v>
      </c>
      <c r="C95" s="2" t="s">
        <v>295</v>
      </c>
      <c r="D95" s="2" t="str">
        <f>"王潇"</f>
        <v>王潇</v>
      </c>
      <c r="E95" s="2" t="str">
        <f t="shared" si="57"/>
        <v>女</v>
      </c>
      <c r="F95" s="2" t="str">
        <f>"1997-09-22"</f>
        <v>1997-09-22</v>
      </c>
      <c r="G95" s="2" t="str">
        <f>"320611199709223429"</f>
        <v>320611199709223429</v>
      </c>
      <c r="H95" s="2" t="str">
        <f>"江苏南通"</f>
        <v>江苏南通</v>
      </c>
      <c r="I95" s="2" t="str">
        <f>"应届生"</f>
        <v>应届生</v>
      </c>
      <c r="J95" s="2" t="str">
        <f t="shared" si="58"/>
        <v>无</v>
      </c>
      <c r="K95" s="2" t="str">
        <f>"2019.06"</f>
        <v>2019.06</v>
      </c>
      <c r="L95" s="2" t="str">
        <f t="shared" si="49"/>
        <v>学士</v>
      </c>
      <c r="M95" s="2" t="str">
        <f>"江苏师范大学"</f>
        <v>江苏师范大学</v>
      </c>
      <c r="N95" s="2" t="str">
        <f>"政治学与行政学"</f>
        <v>政治学与行政学</v>
      </c>
      <c r="O95" s="2" t="str">
        <f t="shared" si="50"/>
        <v>本科</v>
      </c>
      <c r="P95" s="2" t="str">
        <f>"163cm"</f>
        <v>163cm</v>
      </c>
      <c r="Q95" s="2" t="str">
        <f>"无"</f>
        <v>无</v>
      </c>
      <c r="R95" s="2" t="str">
        <f>"无"</f>
        <v>无</v>
      </c>
      <c r="S95" s="2" t="str">
        <f>"江苏省南通市港闸区幸福新城37号楼1002"</f>
        <v>江苏省南通市港闸区幸福新城37号楼1002</v>
      </c>
      <c r="T95" s="2" t="str">
        <f>"226001"</f>
        <v>226001</v>
      </c>
      <c r="U95" s="2" t="str">
        <f>"无"</f>
        <v>无</v>
      </c>
      <c r="V95" s="2" t="str">
        <f>"18852151371"</f>
        <v>18852151371</v>
      </c>
      <c r="W95" s="2" t="str">
        <f>"二级乙等"</f>
        <v>二级乙等</v>
      </c>
      <c r="X95" s="2" t="str">
        <f t="shared" si="26"/>
        <v>否</v>
      </c>
      <c r="Y95" s="2" t="str">
        <f>"英语六级"</f>
        <v>英语六级</v>
      </c>
      <c r="Z95" s="2" t="str">
        <f>"计算机MS office二级"</f>
        <v>计算机MS office二级</v>
      </c>
      <c r="AA95" s="2" t="str">
        <f>"父女|王志明|自由职业|母女|秦怡|自由职业||||||"</f>
        <v>父女|王志明|自由职业|母女|秦怡|自由职业||||||</v>
      </c>
      <c r="AB95" s="2" t="str">
        <f>"2012.09-2015.06 南通市第一中学 学生_x000D_
2015.09-2019.06 江苏师范大学 哲学与公共管理学院政治学与行政学 学生"</f>
        <v>2012.09-2015.06 南通市第一中学 学生_x000D_
2015.09-2019.06 江苏师范大学 哲学与公共管理学院政治学与行政学 学生</v>
      </c>
      <c r="AC95" s="2" t="str">
        <f>"具备良好管理学与政治学理论知识基础，大学期间学习《管理学》《经典案例分析》《组织行为学》《行政学》等科目。"</f>
        <v>具备良好管理学与政治学理论知识基础，大学期间学习《管理学》《经典案例分析》《组织行为学》《行政学》等科目。</v>
      </c>
      <c r="AD95" s="2" t="str">
        <f>""</f>
        <v/>
      </c>
      <c r="AE95" s="4">
        <v>43431.682662037034</v>
      </c>
      <c r="AF95" s="2">
        <v>1</v>
      </c>
      <c r="AG95" s="2">
        <v>1</v>
      </c>
      <c r="AH95" s="2">
        <v>3</v>
      </c>
      <c r="AI95" s="2" t="str">
        <f>"18002024726"</f>
        <v>18002024726</v>
      </c>
      <c r="AJ95" s="2">
        <v>47</v>
      </c>
      <c r="AK95" s="2">
        <v>26</v>
      </c>
      <c r="AL95" s="2" t="s">
        <v>42</v>
      </c>
      <c r="AM95" s="2" t="s">
        <v>43</v>
      </c>
      <c r="AN95" s="2">
        <v>2</v>
      </c>
      <c r="AO95" s="2">
        <v>8104</v>
      </c>
      <c r="AP95" s="2" t="s">
        <v>264</v>
      </c>
      <c r="AQ95" s="2"/>
      <c r="AR95" s="2" t="s">
        <v>330</v>
      </c>
      <c r="AS95" s="3" t="s">
        <v>331</v>
      </c>
      <c r="AT95" s="2" t="s">
        <v>117</v>
      </c>
      <c r="AU95" s="2" t="s">
        <v>117</v>
      </c>
      <c r="AV95" s="7">
        <v>72.7</v>
      </c>
      <c r="AW95" s="2">
        <v>6</v>
      </c>
      <c r="AX95" s="2"/>
      <c r="AY95" s="2"/>
    </row>
    <row r="96" spans="1:51" ht="18.75" customHeight="1">
      <c r="A96" t="str">
        <f>"100220181126090107103"</f>
        <v>100220181126090107103</v>
      </c>
      <c r="B96" s="9">
        <v>94</v>
      </c>
      <c r="C96" s="2" t="s">
        <v>299</v>
      </c>
      <c r="D96" s="2" t="str">
        <f>"王颖"</f>
        <v>王颖</v>
      </c>
      <c r="E96" s="2" t="str">
        <f>"女"</f>
        <v>女</v>
      </c>
      <c r="F96" s="2" t="str">
        <f>"1996-10-16"</f>
        <v>1996-10-16</v>
      </c>
      <c r="G96" s="2" t="str">
        <f>"320683199610160247"</f>
        <v>320683199610160247</v>
      </c>
      <c r="H96" s="2" t="str">
        <f>"江苏省南通市通州区"</f>
        <v>江苏省南通市通州区</v>
      </c>
      <c r="I96" s="2" t="str">
        <f>"应届生"</f>
        <v>应届生</v>
      </c>
      <c r="J96" s="2" t="str">
        <f t="shared" si="58"/>
        <v>无</v>
      </c>
      <c r="K96" s="2" t="str">
        <f>"2018.06"</f>
        <v>2018.06</v>
      </c>
      <c r="L96" s="2" t="str">
        <f t="shared" si="49"/>
        <v>学士</v>
      </c>
      <c r="M96" s="2" t="str">
        <f>"海南大学"</f>
        <v>海南大学</v>
      </c>
      <c r="N96" s="2" t="str">
        <f>"计算机科学与技术"</f>
        <v>计算机科学与技术</v>
      </c>
      <c r="O96" s="2" t="str">
        <f t="shared" si="50"/>
        <v>本科</v>
      </c>
      <c r="P96" s="2" t="str">
        <f>"166"</f>
        <v>166</v>
      </c>
      <c r="Q96" s="2" t="str">
        <f t="shared" ref="Q96:R98" si="59">"无"</f>
        <v>无</v>
      </c>
      <c r="R96" s="2" t="str">
        <f t="shared" si="59"/>
        <v>无</v>
      </c>
      <c r="S96" s="2" t="str">
        <f>"江苏省南通市通州区金沙镇金鑫公寓95栋"</f>
        <v>江苏省南通市通州区金沙镇金鑫公寓95栋</v>
      </c>
      <c r="T96" s="2" t="str">
        <f>"226300"</f>
        <v>226300</v>
      </c>
      <c r="U96" s="2" t="str">
        <f>"0513-86110745"</f>
        <v>0513-86110745</v>
      </c>
      <c r="V96" s="2" t="str">
        <f>"13976696205"</f>
        <v>13976696205</v>
      </c>
      <c r="W96" s="2" t="str">
        <f>"无"</f>
        <v>无</v>
      </c>
      <c r="X96" s="2" t="str">
        <f t="shared" si="26"/>
        <v>否</v>
      </c>
      <c r="Y96" s="2" t="str">
        <f>"英语六级"</f>
        <v>英语六级</v>
      </c>
      <c r="Z96" s="2" t="str">
        <f>"计算机专业"</f>
        <v>计算机专业</v>
      </c>
      <c r="AA96" s="2" t="str">
        <f>"父女|季华|南通凯瑞防腐设备有限公司|母女|顾红娟|南通凯瑞防腐设备有限公司||||||"</f>
        <v>父女|季华|南通凯瑞防腐设备有限公司|母女|顾红娟|南通凯瑞防腐设备有限公司||||||</v>
      </c>
      <c r="AB96" s="2" t="str">
        <f>"2011.09-2014.06 江苏省西亭高级中学 学生_x000D_
2014.09-2018.06 海南大学计算机科学与技术专业 学生"</f>
        <v>2011.09-2014.06 江苏省西亭高级中学 学生_x000D_
2014.09-2018.06 海南大学计算机科学与技术专业 学生</v>
      </c>
      <c r="AC96" s="2" t="str">
        <f t="shared" ref="AC96:AC107" si="60">"无"</f>
        <v>无</v>
      </c>
      <c r="AD96" s="2" t="str">
        <f>""</f>
        <v/>
      </c>
      <c r="AE96" s="4">
        <v>43430.477118055554</v>
      </c>
      <c r="AF96" s="2">
        <v>1</v>
      </c>
      <c r="AG96" s="2">
        <v>1</v>
      </c>
      <c r="AH96" s="2">
        <v>5</v>
      </c>
      <c r="AI96" s="2" t="str">
        <f>"18002025424"</f>
        <v>18002025424</v>
      </c>
      <c r="AJ96" s="2">
        <v>54</v>
      </c>
      <c r="AK96" s="2">
        <v>24</v>
      </c>
      <c r="AL96" s="2" t="s">
        <v>42</v>
      </c>
      <c r="AM96" s="2" t="s">
        <v>43</v>
      </c>
      <c r="AN96" s="2">
        <v>2</v>
      </c>
      <c r="AO96" s="2">
        <v>6500</v>
      </c>
      <c r="AP96" s="2" t="s">
        <v>303</v>
      </c>
      <c r="AQ96" s="2"/>
      <c r="AR96" s="2" t="s">
        <v>330</v>
      </c>
      <c r="AS96" s="3" t="s">
        <v>331</v>
      </c>
      <c r="AT96" s="2" t="s">
        <v>117</v>
      </c>
      <c r="AU96" s="2" t="s">
        <v>117</v>
      </c>
      <c r="AV96" s="7">
        <v>80.05</v>
      </c>
      <c r="AW96" s="2">
        <v>1</v>
      </c>
      <c r="AX96" s="2"/>
      <c r="AY96" s="2"/>
    </row>
    <row r="97" spans="1:51" ht="18.75" customHeight="1">
      <c r="A97" t="str">
        <f>"1002201811262120542886"</f>
        <v>1002201811262120542886</v>
      </c>
      <c r="B97" s="9">
        <v>95</v>
      </c>
      <c r="C97" s="2" t="s">
        <v>299</v>
      </c>
      <c r="D97" s="2" t="str">
        <f>"苗润润"</f>
        <v>苗润润</v>
      </c>
      <c r="E97" s="2" t="str">
        <f t="shared" ref="E97:E107" si="61">"男"</f>
        <v>男</v>
      </c>
      <c r="F97" s="2" t="str">
        <f>"1993-12-27"</f>
        <v>1993-12-27</v>
      </c>
      <c r="G97" s="2" t="str">
        <f>"320981199312272471"</f>
        <v>320981199312272471</v>
      </c>
      <c r="H97" s="2" t="str">
        <f>"江苏东台"</f>
        <v>江苏东台</v>
      </c>
      <c r="I97" s="2" t="str">
        <f>"非应届生"</f>
        <v>非应届生</v>
      </c>
      <c r="J97" s="2" t="str">
        <f t="shared" si="58"/>
        <v>无</v>
      </c>
      <c r="K97" s="2" t="str">
        <f>"2017.06"</f>
        <v>2017.06</v>
      </c>
      <c r="L97" s="2" t="str">
        <f t="shared" si="49"/>
        <v>学士</v>
      </c>
      <c r="M97" s="2" t="str">
        <f>"河南理工大学"</f>
        <v>河南理工大学</v>
      </c>
      <c r="N97" s="2" t="str">
        <f>"物联网工程"</f>
        <v>物联网工程</v>
      </c>
      <c r="O97" s="2" t="str">
        <f t="shared" si="50"/>
        <v>本科</v>
      </c>
      <c r="P97" s="2" t="str">
        <f>"174cm"</f>
        <v>174cm</v>
      </c>
      <c r="Q97" s="2" t="str">
        <f t="shared" si="59"/>
        <v>无</v>
      </c>
      <c r="R97" s="2" t="str">
        <f t="shared" si="59"/>
        <v>无</v>
      </c>
      <c r="S97" s="2" t="str">
        <f>"江苏省盐城市东台市林城花园26#403"</f>
        <v>江苏省盐城市东台市林城花园26#403</v>
      </c>
      <c r="T97" s="2" t="str">
        <f>"224200"</f>
        <v>224200</v>
      </c>
      <c r="U97" s="2" t="str">
        <f>"无"</f>
        <v>无</v>
      </c>
      <c r="V97" s="2" t="str">
        <f>"13705110611"</f>
        <v>13705110611</v>
      </c>
      <c r="W97" s="2" t="str">
        <f>"无"</f>
        <v>无</v>
      </c>
      <c r="X97" s="2" t="str">
        <f t="shared" si="26"/>
        <v>否</v>
      </c>
      <c r="Y97" s="2" t="str">
        <f>"大学英语六级"</f>
        <v>大学英语六级</v>
      </c>
      <c r="Z97" s="2" t="str">
        <f>"无"</f>
        <v>无</v>
      </c>
      <c r="AA97" s="2" t="str">
        <f>"父亲|苗学东|东台市实验中学|母亲|王小菊|自由职业者||||||"</f>
        <v>父亲|苗学东|东台市实验中学|母亲|王小菊|自由职业者||||||</v>
      </c>
      <c r="AB97" s="2" t="str">
        <f>"2009.09-2012.06 江苏省东台中学 学生_x000D_
2012.09-2013.06 江苏省东台中学复读_x000D_
2013.09-2017.06 河南理工大学计算机学院物联网工程专业 学生_x000D_
2017.07至今待业"</f>
        <v>2009.09-2012.06 江苏省东台中学 学生_x000D_
2012.09-2013.06 江苏省东台中学复读_x000D_
2013.09-2017.06 河南理工大学计算机学院物联网工程专业 学生_x000D_
2017.07至今待业</v>
      </c>
      <c r="AC97" s="2" t="str">
        <f t="shared" si="60"/>
        <v>无</v>
      </c>
      <c r="AD97" s="2" t="str">
        <f>""</f>
        <v/>
      </c>
      <c r="AE97" s="4">
        <v>43431.777175925927</v>
      </c>
      <c r="AF97" s="2">
        <v>1</v>
      </c>
      <c r="AG97" s="2">
        <v>1</v>
      </c>
      <c r="AH97" s="2">
        <v>2</v>
      </c>
      <c r="AI97" s="2" t="str">
        <f>"18002025230"</f>
        <v>18002025230</v>
      </c>
      <c r="AJ97" s="2">
        <v>52</v>
      </c>
      <c r="AK97" s="2">
        <v>30</v>
      </c>
      <c r="AL97" s="2" t="s">
        <v>42</v>
      </c>
      <c r="AM97" s="2" t="s">
        <v>43</v>
      </c>
      <c r="AN97" s="2">
        <v>2</v>
      </c>
      <c r="AO97" s="2">
        <v>4627</v>
      </c>
      <c r="AP97" s="2" t="s">
        <v>302</v>
      </c>
      <c r="AQ97" s="2"/>
      <c r="AR97" s="2" t="s">
        <v>330</v>
      </c>
      <c r="AS97" s="3" t="s">
        <v>331</v>
      </c>
      <c r="AT97" s="2" t="s">
        <v>117</v>
      </c>
      <c r="AU97" s="2" t="s">
        <v>117</v>
      </c>
      <c r="AV97" s="7">
        <v>75.2</v>
      </c>
      <c r="AW97" s="2">
        <v>2</v>
      </c>
      <c r="AX97" s="2"/>
      <c r="AY97" s="2"/>
    </row>
    <row r="98" spans="1:51" ht="18.75" customHeight="1">
      <c r="A98" t="str">
        <f>"1002201811291310255829"</f>
        <v>1002201811291310255829</v>
      </c>
      <c r="B98" s="9">
        <v>96</v>
      </c>
      <c r="C98" s="2" t="s">
        <v>299</v>
      </c>
      <c r="D98" s="2" t="str">
        <f>"吴昊翾"</f>
        <v>吴昊翾</v>
      </c>
      <c r="E98" s="2" t="str">
        <f t="shared" si="61"/>
        <v>男</v>
      </c>
      <c r="F98" s="2" t="str">
        <f>"1994-11-08"</f>
        <v>1994-11-08</v>
      </c>
      <c r="G98" s="2" t="str">
        <f>"320682199411081734"</f>
        <v>320682199411081734</v>
      </c>
      <c r="H98" s="2" t="str">
        <f>"江苏如皋"</f>
        <v>江苏如皋</v>
      </c>
      <c r="I98" s="2" t="str">
        <f>"非应届生"</f>
        <v>非应届生</v>
      </c>
      <c r="J98" s="2" t="str">
        <f t="shared" si="58"/>
        <v>无</v>
      </c>
      <c r="K98" s="2" t="str">
        <f>"2016.06"</f>
        <v>2016.06</v>
      </c>
      <c r="L98" s="2" t="str">
        <f t="shared" si="49"/>
        <v>学士</v>
      </c>
      <c r="M98" s="2" t="str">
        <f>"南京邮电大学"</f>
        <v>南京邮电大学</v>
      </c>
      <c r="N98" s="2" t="str">
        <f>"计算机科学与技术"</f>
        <v>计算机科学与技术</v>
      </c>
      <c r="O98" s="2" t="str">
        <f t="shared" si="50"/>
        <v>本科</v>
      </c>
      <c r="P98" s="2" t="str">
        <f>"180"</f>
        <v>180</v>
      </c>
      <c r="Q98" s="2" t="str">
        <f t="shared" si="59"/>
        <v>无</v>
      </c>
      <c r="R98" s="2" t="str">
        <f t="shared" si="59"/>
        <v>无</v>
      </c>
      <c r="S98" s="2" t="str">
        <f>"如皋市丁堰镇鞠庄村53组36号"</f>
        <v>如皋市丁堰镇鞠庄村53组36号</v>
      </c>
      <c r="T98" s="2" t="str">
        <f>"226500"</f>
        <v>226500</v>
      </c>
      <c r="U98" s="2" t="str">
        <f>"无"</f>
        <v>无</v>
      </c>
      <c r="V98" s="2" t="str">
        <f>"15651966803"</f>
        <v>15651966803</v>
      </c>
      <c r="W98" s="2" t="str">
        <f>"无"</f>
        <v>无</v>
      </c>
      <c r="X98" s="2" t="str">
        <f t="shared" si="26"/>
        <v>否</v>
      </c>
      <c r="Y98" s="2" t="str">
        <f>"英语六级"</f>
        <v>英语六级</v>
      </c>
      <c r="Z98" s="2" t="str">
        <f>"无"</f>
        <v>无</v>
      </c>
      <c r="AA98" s="2" t="str">
        <f>"父亲|吴向阳|浙江诺特健康科技有限公司|母亲|朱媛媛|浙江诺特健康科技有限公司||||||"</f>
        <v>父亲|吴向阳|浙江诺特健康科技有限公司|母亲|朱媛媛|浙江诺特健康科技有限公司||||||</v>
      </c>
      <c r="AB98" s="2" t="str">
        <f>"2009.09-2012.06江苏省白蒲高级中学_x000D_
2012.09-2016.06南京邮电大学海外教育学院计算机科学与技术专业 学生_x000D_
2016.08-2016.11南京招商银行信用卡中心 职员_x000D_
2016.12至今 待业"</f>
        <v>2009.09-2012.06江苏省白蒲高级中学_x000D_
2012.09-2016.06南京邮电大学海外教育学院计算机科学与技术专业 学生_x000D_
2016.08-2016.11南京招商银行信用卡中心 职员_x000D_
2016.12至今 待业</v>
      </c>
      <c r="AC98" s="2" t="str">
        <f t="shared" si="60"/>
        <v>无</v>
      </c>
      <c r="AD98" s="2" t="str">
        <f>""</f>
        <v/>
      </c>
      <c r="AE98" s="4">
        <v>43433.712951388887</v>
      </c>
      <c r="AF98" s="2">
        <v>1</v>
      </c>
      <c r="AG98" s="2">
        <v>1</v>
      </c>
      <c r="AH98" s="2">
        <v>1</v>
      </c>
      <c r="AI98" s="2" t="str">
        <f>"18002025625"</f>
        <v>18002025625</v>
      </c>
      <c r="AJ98" s="2">
        <v>56</v>
      </c>
      <c r="AK98" s="2">
        <v>25</v>
      </c>
      <c r="AL98" s="2" t="s">
        <v>42</v>
      </c>
      <c r="AM98" s="2" t="s">
        <v>43</v>
      </c>
      <c r="AN98" s="2">
        <v>2</v>
      </c>
      <c r="AO98" s="2">
        <v>9422</v>
      </c>
      <c r="AP98" s="2" t="s">
        <v>305</v>
      </c>
      <c r="AQ98" s="2"/>
      <c r="AR98" s="2" t="s">
        <v>330</v>
      </c>
      <c r="AS98" s="3" t="s">
        <v>331</v>
      </c>
      <c r="AT98" s="2" t="s">
        <v>117</v>
      </c>
      <c r="AU98" s="2" t="s">
        <v>117</v>
      </c>
      <c r="AV98" s="7">
        <v>73.400000000000006</v>
      </c>
      <c r="AW98" s="2">
        <v>3</v>
      </c>
      <c r="AX98" s="2"/>
      <c r="AY98" s="2"/>
    </row>
    <row r="99" spans="1:51" ht="18.75" customHeight="1">
      <c r="A99" t="str">
        <f>"1002201811261718362361"</f>
        <v>1002201811261718362361</v>
      </c>
      <c r="B99" s="9">
        <v>97</v>
      </c>
      <c r="C99" s="2" t="s">
        <v>299</v>
      </c>
      <c r="D99" s="2" t="str">
        <f>"何清"</f>
        <v>何清</v>
      </c>
      <c r="E99" s="2" t="str">
        <f t="shared" si="61"/>
        <v>男</v>
      </c>
      <c r="F99" s="2" t="str">
        <f>"1992-12-05"</f>
        <v>1992-12-05</v>
      </c>
      <c r="G99" s="2" t="str">
        <f>"320981199212054717"</f>
        <v>320981199212054717</v>
      </c>
      <c r="H99" s="2" t="str">
        <f>"江苏东台"</f>
        <v>江苏东台</v>
      </c>
      <c r="I99" s="2" t="str">
        <f>"非应届生"</f>
        <v>非应届生</v>
      </c>
      <c r="J99" s="2" t="str">
        <f t="shared" si="58"/>
        <v>无</v>
      </c>
      <c r="K99" s="2" t="str">
        <f>"2015.06"</f>
        <v>2015.06</v>
      </c>
      <c r="L99" s="2" t="str">
        <f t="shared" si="49"/>
        <v>学士</v>
      </c>
      <c r="M99" s="2" t="str">
        <f>"南通大学"</f>
        <v>南通大学</v>
      </c>
      <c r="N99" s="2" t="str">
        <f>"信息管理与信息系统"</f>
        <v>信息管理与信息系统</v>
      </c>
      <c r="O99" s="2" t="str">
        <f t="shared" si="50"/>
        <v>本科</v>
      </c>
      <c r="P99" s="2" t="str">
        <f>"177"</f>
        <v>177</v>
      </c>
      <c r="Q99" s="2" t="str">
        <f>"北京华图宏阳教育文化发展股份有限公司南通分公司"</f>
        <v>北京华图宏阳教育文化发展股份有限公司南通分公司</v>
      </c>
      <c r="R99" s="2" t="str">
        <f>"2015.07"</f>
        <v>2015.07</v>
      </c>
      <c r="S99" s="2" t="str">
        <f>"江苏省东台市富安镇双富居委会十一组54号"</f>
        <v>江苏省东台市富安镇双富居委会十一组54号</v>
      </c>
      <c r="T99" s="2" t="str">
        <f>"224222"</f>
        <v>224222</v>
      </c>
      <c r="U99" s="2" t="str">
        <f>"无"</f>
        <v>无</v>
      </c>
      <c r="V99" s="2" t="str">
        <f>"15896269691"</f>
        <v>15896269691</v>
      </c>
      <c r="W99" s="2" t="str">
        <f>"无"</f>
        <v>无</v>
      </c>
      <c r="X99" s="2" t="str">
        <f t="shared" si="26"/>
        <v>否</v>
      </c>
      <c r="Y99" s="2" t="str">
        <f>"四级"</f>
        <v>四级</v>
      </c>
      <c r="Z99" s="2" t="str">
        <f>"熟练"</f>
        <v>熟练</v>
      </c>
      <c r="AA99" s="2" t="str">
        <f>"父子|何良友|农民|母子|仲晓芳|农民|夫妻|张美玲|待业|||"</f>
        <v>父子|何良友|农民|母子|仲晓芳|农民|夫妻|张美玲|待业|||</v>
      </c>
      <c r="AB99" s="2" t="str">
        <f>"2008.09-2011.06 东台中学 学生_x000D_
2011.09-2.15.06 南通大学 学生_x000D_
2015.07-至今 北京华图宏阳教育文化发展股份有限公司南通分公司 职员"</f>
        <v>2008.09-2011.06 东台中学 学生_x000D_
2011.09-2.15.06 南通大学 学生_x000D_
2015.07-至今 北京华图宏阳教育文化发展股份有限公司南通分公司 职员</v>
      </c>
      <c r="AC99" s="2" t="str">
        <f t="shared" si="60"/>
        <v>无</v>
      </c>
      <c r="AD99" s="2" t="str">
        <f>""</f>
        <v/>
      </c>
      <c r="AE99" s="4">
        <v>43431.674907407411</v>
      </c>
      <c r="AF99" s="2">
        <v>1</v>
      </c>
      <c r="AG99" s="2">
        <v>1</v>
      </c>
      <c r="AH99" s="2">
        <v>1</v>
      </c>
      <c r="AI99" s="2" t="str">
        <f>"18002025506"</f>
        <v>18002025506</v>
      </c>
      <c r="AJ99" s="2">
        <v>55</v>
      </c>
      <c r="AK99" s="2">
        <v>6</v>
      </c>
      <c r="AL99" s="2" t="s">
        <v>42</v>
      </c>
      <c r="AM99" s="2" t="s">
        <v>43</v>
      </c>
      <c r="AN99" s="2">
        <v>2</v>
      </c>
      <c r="AO99" s="2">
        <v>6841</v>
      </c>
      <c r="AP99" s="2" t="s">
        <v>304</v>
      </c>
      <c r="AQ99" s="2"/>
      <c r="AR99" s="2" t="s">
        <v>330</v>
      </c>
      <c r="AS99" s="3" t="s">
        <v>331</v>
      </c>
      <c r="AT99" s="2" t="s">
        <v>117</v>
      </c>
      <c r="AU99" s="2" t="s">
        <v>117</v>
      </c>
      <c r="AV99" s="7">
        <v>73.2</v>
      </c>
      <c r="AW99" s="2">
        <v>4</v>
      </c>
      <c r="AX99" s="2"/>
      <c r="AY99" s="2"/>
    </row>
    <row r="100" spans="1:51" ht="18.75" customHeight="1">
      <c r="A100" t="str">
        <f>"1002201811301126076882"</f>
        <v>1002201811301126076882</v>
      </c>
      <c r="B100" s="9">
        <v>98</v>
      </c>
      <c r="C100" s="2" t="s">
        <v>299</v>
      </c>
      <c r="D100" s="2" t="str">
        <f>"胡范杰"</f>
        <v>胡范杰</v>
      </c>
      <c r="E100" s="2" t="str">
        <f t="shared" si="61"/>
        <v>男</v>
      </c>
      <c r="F100" s="2" t="str">
        <f>"1990-10-12"</f>
        <v>1990-10-12</v>
      </c>
      <c r="G100" s="2" t="str">
        <f>"37132119901012233X"</f>
        <v>37132119901012233X</v>
      </c>
      <c r="H100" s="2" t="str">
        <f>"临沂市沂南县"</f>
        <v>临沂市沂南县</v>
      </c>
      <c r="I100" s="2" t="str">
        <f>"非应届生"</f>
        <v>非应届生</v>
      </c>
      <c r="J100" s="2" t="str">
        <f t="shared" si="58"/>
        <v>无</v>
      </c>
      <c r="K100" s="2" t="str">
        <f>"2014.7"</f>
        <v>2014.7</v>
      </c>
      <c r="L100" s="2" t="str">
        <f t="shared" si="49"/>
        <v>学士</v>
      </c>
      <c r="M100" s="2" t="str">
        <f>"泰山医学院"</f>
        <v>泰山医学院</v>
      </c>
      <c r="N100" s="2" t="str">
        <f>"计算机科学与技术"</f>
        <v>计算机科学与技术</v>
      </c>
      <c r="O100" s="2" t="str">
        <f t="shared" si="50"/>
        <v>本科</v>
      </c>
      <c r="P100" s="2" t="str">
        <f>"175cm"</f>
        <v>175cm</v>
      </c>
      <c r="Q100" s="2" t="str">
        <f>"盐城市瑞丰谷物有限公司"</f>
        <v>盐城市瑞丰谷物有限公司</v>
      </c>
      <c r="R100" s="2" t="str">
        <f>"2014.10"</f>
        <v>2014.10</v>
      </c>
      <c r="S100" s="2" t="str">
        <f>"山东省临沂市沂南县孙祖镇"</f>
        <v>山东省临沂市沂南县孙祖镇</v>
      </c>
      <c r="T100" s="2" t="str">
        <f>"276313"</f>
        <v>276313</v>
      </c>
      <c r="U100" s="2" t="str">
        <f>"000-888888"</f>
        <v>000-888888</v>
      </c>
      <c r="V100" s="2" t="str">
        <f>"13914674042"</f>
        <v>13914674042</v>
      </c>
      <c r="W100" s="2" t="str">
        <f>"二级乙等"</f>
        <v>二级乙等</v>
      </c>
      <c r="X100" s="2" t="str">
        <f t="shared" ref="X100:X114" si="62">"否"</f>
        <v>否</v>
      </c>
      <c r="Y100" s="2" t="str">
        <f>"英语四级"</f>
        <v>英语四级</v>
      </c>
      <c r="Z100" s="2" t="str">
        <f>"熟练"</f>
        <v>熟练</v>
      </c>
      <c r="AA100" s="2" t="str">
        <f>"父亲|胡乃平|务农|母亲|高照玉|务农||||||"</f>
        <v>父亲|胡乃平|务农|母亲|高照玉|务农||||||</v>
      </c>
      <c r="AB100" s="2" t="str">
        <f>"2007.9-2010.7  沂南县第二中学_x000D_
2010.9-2014.7  泰山医学院   计算机科学与技术_x000D_
2014.10-2015.6  亚马逊上海公司_x000D_
2015.8-2018.3   南通千家万纺电子商务有限公司_x000D_
2018.6-至今    盐城市瑞丰谷物有限公司 "</f>
        <v xml:space="preserve">2007.9-2010.7  沂南县第二中学_x000D_
2010.9-2014.7  泰山医学院   计算机科学与技术_x000D_
2014.10-2015.6  亚马逊上海公司_x000D_
2015.8-2018.3   南通千家万纺电子商务有限公司_x000D_
2018.6-至今    盐城市瑞丰谷物有限公司 </v>
      </c>
      <c r="AC100" s="2" t="str">
        <f t="shared" si="60"/>
        <v>无</v>
      </c>
      <c r="AD100" s="2" t="str">
        <f>""</f>
        <v/>
      </c>
      <c r="AE100" s="4">
        <v>43434.653935185182</v>
      </c>
      <c r="AF100" s="2">
        <v>1</v>
      </c>
      <c r="AG100" s="2">
        <v>1</v>
      </c>
      <c r="AH100" s="2">
        <v>2</v>
      </c>
      <c r="AI100" s="2" t="str">
        <f>"18002025125"</f>
        <v>18002025125</v>
      </c>
      <c r="AJ100" s="2">
        <v>51</v>
      </c>
      <c r="AK100" s="2">
        <v>25</v>
      </c>
      <c r="AL100" s="2" t="s">
        <v>42</v>
      </c>
      <c r="AM100" s="2" t="s">
        <v>43</v>
      </c>
      <c r="AN100" s="2">
        <v>2</v>
      </c>
      <c r="AO100" s="2">
        <v>2576</v>
      </c>
      <c r="AP100" s="2" t="s">
        <v>300</v>
      </c>
      <c r="AQ100" s="2"/>
      <c r="AR100" s="2" t="s">
        <v>330</v>
      </c>
      <c r="AS100" s="3" t="s">
        <v>331</v>
      </c>
      <c r="AT100" s="2" t="s">
        <v>117</v>
      </c>
      <c r="AU100" s="2" t="s">
        <v>117</v>
      </c>
      <c r="AV100" s="7">
        <v>73.099999999999994</v>
      </c>
      <c r="AW100" s="2">
        <v>5</v>
      </c>
      <c r="AX100" s="2"/>
      <c r="AY100" s="2"/>
    </row>
    <row r="101" spans="1:51" ht="18.75" customHeight="1">
      <c r="A101" t="str">
        <f>"1002201811291756436164"</f>
        <v>1002201811291756436164</v>
      </c>
      <c r="B101" s="9">
        <v>99</v>
      </c>
      <c r="C101" s="2" t="s">
        <v>299</v>
      </c>
      <c r="D101" s="2" t="str">
        <f>"马博翰"</f>
        <v>马博翰</v>
      </c>
      <c r="E101" s="2" t="str">
        <f t="shared" si="61"/>
        <v>男</v>
      </c>
      <c r="F101" s="2" t="str">
        <f>"1992-04-23"</f>
        <v>1992-04-23</v>
      </c>
      <c r="G101" s="2" t="str">
        <f>"372324199204230056"</f>
        <v>372324199204230056</v>
      </c>
      <c r="H101" s="2" t="str">
        <f>"天津市南开区"</f>
        <v>天津市南开区</v>
      </c>
      <c r="I101" s="2" t="str">
        <f>"非应届生"</f>
        <v>非应届生</v>
      </c>
      <c r="J101" s="2" t="str">
        <f t="shared" si="58"/>
        <v>无</v>
      </c>
      <c r="K101" s="2" t="str">
        <f>"2015.6"</f>
        <v>2015.6</v>
      </c>
      <c r="L101" s="2" t="str">
        <f t="shared" si="49"/>
        <v>学士</v>
      </c>
      <c r="M101" s="2" t="str">
        <f>"齐鲁工业大学"</f>
        <v>齐鲁工业大学</v>
      </c>
      <c r="N101" s="2" t="str">
        <f>"信息与计算科学"</f>
        <v>信息与计算科学</v>
      </c>
      <c r="O101" s="2" t="str">
        <f t="shared" si="50"/>
        <v>本科</v>
      </c>
      <c r="P101" s="2" t="str">
        <f>"172"</f>
        <v>172</v>
      </c>
      <c r="Q101" s="2" t="str">
        <f>"滨州洪良装饰工程有限公司"</f>
        <v>滨州洪良装饰工程有限公司</v>
      </c>
      <c r="R101" s="2" t="str">
        <f>"2016.1"</f>
        <v>2016.1</v>
      </c>
      <c r="S101" s="2" t="str">
        <f>"山东省滨州市无棣县棣新四路2-3号海洋与渔业局"</f>
        <v>山东省滨州市无棣县棣新四路2-3号海洋与渔业局</v>
      </c>
      <c r="T101" s="2" t="str">
        <f>"251900"</f>
        <v>251900</v>
      </c>
      <c r="U101" s="2" t="str">
        <f>"13475064656"</f>
        <v>13475064656</v>
      </c>
      <c r="V101" s="2" t="str">
        <f>"18860561065"</f>
        <v>18860561065</v>
      </c>
      <c r="W101" s="2" t="str">
        <f>"无"</f>
        <v>无</v>
      </c>
      <c r="X101" s="2" t="str">
        <f t="shared" si="62"/>
        <v>否</v>
      </c>
      <c r="Y101" s="2" t="str">
        <f>"大学英语四级合格"</f>
        <v>大学英语四级合格</v>
      </c>
      <c r="Z101" s="2" t="str">
        <f>"无"</f>
        <v>无</v>
      </c>
      <c r="AA101" s="2" t="str">
        <f>"母亲|李爱萍|山东省滨州市无棣县海洋与渔业局|||||||||"</f>
        <v>母亲|李爱萍|山东省滨州市无棣县海洋与渔业局|||||||||</v>
      </c>
      <c r="AB101" s="2" t="str">
        <f>"2008.09-2011.06 无棣县第二高级中学 学生_x000D_
2011.09-2015.06 齐鲁工业大学学习信息与计算科学专业 学生_x000D_
2016.01-2016.05 无棣县人力资源与社会保障局   合同工_x000D_
2016.06-2018.03 山东中联佳裕软件股份有限公司 职员_x000D_
2018.09至今 滨州洪良装饰工程有限公司 职员"</f>
        <v>2008.09-2011.06 无棣县第二高级中学 学生_x000D_
2011.09-2015.06 齐鲁工业大学学习信息与计算科学专业 学生_x000D_
2016.01-2016.05 无棣县人力资源与社会保障局   合同工_x000D_
2016.06-2018.03 山东中联佳裕软件股份有限公司 职员_x000D_
2018.09至今 滨州洪良装饰工程有限公司 职员</v>
      </c>
      <c r="AC101" s="2" t="str">
        <f t="shared" si="60"/>
        <v>无</v>
      </c>
      <c r="AD101" s="2" t="str">
        <f>""</f>
        <v/>
      </c>
      <c r="AE101" s="4">
        <v>43433.767337962963</v>
      </c>
      <c r="AF101" s="2">
        <v>1</v>
      </c>
      <c r="AG101" s="2">
        <v>1</v>
      </c>
      <c r="AH101" s="2">
        <v>3</v>
      </c>
      <c r="AI101" s="2" t="str">
        <f>"18002025217"</f>
        <v>18002025217</v>
      </c>
      <c r="AJ101" s="2">
        <v>52</v>
      </c>
      <c r="AK101" s="2">
        <v>17</v>
      </c>
      <c r="AL101" s="2" t="s">
        <v>42</v>
      </c>
      <c r="AM101" s="2" t="s">
        <v>43</v>
      </c>
      <c r="AN101" s="2">
        <v>2</v>
      </c>
      <c r="AO101" s="2">
        <v>3874</v>
      </c>
      <c r="AP101" s="2" t="s">
        <v>301</v>
      </c>
      <c r="AQ101" s="2"/>
      <c r="AR101" s="2" t="s">
        <v>330</v>
      </c>
      <c r="AS101" s="3" t="s">
        <v>331</v>
      </c>
      <c r="AT101" s="2" t="s">
        <v>117</v>
      </c>
      <c r="AU101" s="2" t="s">
        <v>117</v>
      </c>
      <c r="AV101" s="7">
        <v>72.849999999999994</v>
      </c>
      <c r="AW101" s="2">
        <v>6</v>
      </c>
      <c r="AX101" s="2"/>
      <c r="AY101" s="2"/>
    </row>
    <row r="102" spans="1:51" ht="18.75" customHeight="1">
      <c r="A102" t="str">
        <f>"1002201811262322513051"</f>
        <v>1002201811262322513051</v>
      </c>
      <c r="B102" s="9">
        <v>100</v>
      </c>
      <c r="C102" s="2" t="s">
        <v>306</v>
      </c>
      <c r="D102" s="2" t="str">
        <f>"郭磊"</f>
        <v>郭磊</v>
      </c>
      <c r="E102" s="2" t="str">
        <f t="shared" si="61"/>
        <v>男</v>
      </c>
      <c r="F102" s="2" t="str">
        <f>"1989-05-30"</f>
        <v>1989-05-30</v>
      </c>
      <c r="G102" s="2" t="str">
        <f>"32068219890530207X"</f>
        <v>32068219890530207X</v>
      </c>
      <c r="H102" s="2" t="str">
        <f>"江苏如皋"</f>
        <v>江苏如皋</v>
      </c>
      <c r="I102" s="2" t="str">
        <f t="shared" ref="I102:I113" si="63">"非应届生"</f>
        <v>非应届生</v>
      </c>
      <c r="J102" s="2" t="str">
        <f t="shared" si="58"/>
        <v>无</v>
      </c>
      <c r="K102" s="2" t="str">
        <f>"2011.07"</f>
        <v>2011.07</v>
      </c>
      <c r="L102" s="2" t="str">
        <f t="shared" si="49"/>
        <v>学士</v>
      </c>
      <c r="M102" s="2" t="str">
        <f>"江苏大学京江学院"</f>
        <v>江苏大学京江学院</v>
      </c>
      <c r="N102" s="2" t="str">
        <f>"机械设计制造及其自动化（模具）"</f>
        <v>机械设计制造及其自动化（模具）</v>
      </c>
      <c r="O102" s="2" t="str">
        <f t="shared" si="50"/>
        <v>本科</v>
      </c>
      <c r="P102" s="2" t="str">
        <f>"172"</f>
        <v>172</v>
      </c>
      <c r="Q102" s="2" t="str">
        <f>"如皋市城南街道夏庄社区居民委员会"</f>
        <v>如皋市城南街道夏庄社区居民委员会</v>
      </c>
      <c r="R102" s="2" t="str">
        <f>"2012.10"</f>
        <v>2012.10</v>
      </c>
      <c r="S102" s="2" t="str">
        <f>"江苏省如皋市城南街道夏庄社区"</f>
        <v>江苏省如皋市城南街道夏庄社区</v>
      </c>
      <c r="T102" s="2" t="str">
        <f>"226500"</f>
        <v>226500</v>
      </c>
      <c r="U102" s="2" t="str">
        <f>"0513-88545088"</f>
        <v>0513-88545088</v>
      </c>
      <c r="V102" s="2" t="str">
        <f>"13773825885"</f>
        <v>13773825885</v>
      </c>
      <c r="W102" s="2" t="str">
        <f>"无"</f>
        <v>无</v>
      </c>
      <c r="X102" s="2" t="str">
        <f t="shared" si="62"/>
        <v>否</v>
      </c>
      <c r="Y102" s="2" t="str">
        <f>"大学英语四级"</f>
        <v>大学英语四级</v>
      </c>
      <c r="Z102" s="2" t="str">
        <f>"良好"</f>
        <v>良好</v>
      </c>
      <c r="AA102" s="2" t="str">
        <f>"父亲|郭继忠|城南街道|母亲|郭继芳|务农|妻子|焦艳婷|个体户|||"</f>
        <v>父亲|郭继忠|城南街道|母亲|郭继芳|务农|妻子|焦艳婷|个体户|||</v>
      </c>
      <c r="AB102" s="2" t="str">
        <f>"2004.09-2007.07 如皋市第一中学 学生_x000D_
2007.09-2011.07 江苏大学京江学院 机械设计专业 学生_x000D_
2012.10-2014.12 南通超达机械科技有限公司 技术员_x000D_
2015.01至今 如皋市城南街道 村社区干部"</f>
        <v>2004.09-2007.07 如皋市第一中学 学生_x000D_
2007.09-2011.07 江苏大学京江学院 机械设计专业 学生_x000D_
2012.10-2014.12 南通超达机械科技有限公司 技术员_x000D_
2015.01至今 如皋市城南街道 村社区干部</v>
      </c>
      <c r="AC102" s="2" t="str">
        <f t="shared" si="60"/>
        <v>无</v>
      </c>
      <c r="AD102" s="2" t="str">
        <f>""</f>
        <v/>
      </c>
      <c r="AE102" s="4">
        <v>43431.424108796295</v>
      </c>
      <c r="AF102" s="2">
        <v>1</v>
      </c>
      <c r="AG102" s="2">
        <v>1</v>
      </c>
      <c r="AH102" s="2">
        <v>1</v>
      </c>
      <c r="AI102" s="2" t="str">
        <f>"18002026414"</f>
        <v>18002026414</v>
      </c>
      <c r="AJ102" s="2">
        <v>64</v>
      </c>
      <c r="AK102" s="2">
        <v>14</v>
      </c>
      <c r="AL102" s="2" t="s">
        <v>42</v>
      </c>
      <c r="AM102" s="2" t="s">
        <v>43</v>
      </c>
      <c r="AN102" s="2">
        <v>2</v>
      </c>
      <c r="AO102" s="2">
        <v>7935</v>
      </c>
      <c r="AP102" s="2" t="s">
        <v>168</v>
      </c>
      <c r="AQ102" s="2"/>
      <c r="AR102" s="2" t="s">
        <v>330</v>
      </c>
      <c r="AS102" s="3" t="s">
        <v>331</v>
      </c>
      <c r="AT102" s="2" t="s">
        <v>117</v>
      </c>
      <c r="AU102" s="2" t="s">
        <v>117</v>
      </c>
      <c r="AV102" s="7">
        <v>79.7</v>
      </c>
      <c r="AW102" s="2">
        <v>1</v>
      </c>
      <c r="AX102" s="2"/>
      <c r="AY102" s="2"/>
    </row>
    <row r="103" spans="1:51" ht="18.75" customHeight="1">
      <c r="A103" t="str">
        <f>"1002201811262037492797"</f>
        <v>1002201811262037492797</v>
      </c>
      <c r="B103" s="9">
        <v>101</v>
      </c>
      <c r="C103" s="2" t="s">
        <v>306</v>
      </c>
      <c r="D103" s="2" t="str">
        <f>"姜晖"</f>
        <v>姜晖</v>
      </c>
      <c r="E103" s="2" t="str">
        <f t="shared" si="61"/>
        <v>男</v>
      </c>
      <c r="F103" s="2" t="str">
        <f>"1991-08-12"</f>
        <v>1991-08-12</v>
      </c>
      <c r="G103" s="2" t="str">
        <f>"321281199108128256"</f>
        <v>321281199108128256</v>
      </c>
      <c r="H103" s="2" t="str">
        <f>"江苏省兴化市"</f>
        <v>江苏省兴化市</v>
      </c>
      <c r="I103" s="2" t="str">
        <f t="shared" si="63"/>
        <v>非应届生</v>
      </c>
      <c r="J103" s="2" t="str">
        <f t="shared" si="58"/>
        <v>无</v>
      </c>
      <c r="K103" s="2" t="str">
        <f>"2014.6"</f>
        <v>2014.6</v>
      </c>
      <c r="L103" s="2" t="str">
        <f>"无"</f>
        <v>无</v>
      </c>
      <c r="M103" s="2" t="str">
        <f>"苏州大学应用技术学院"</f>
        <v>苏州大学应用技术学院</v>
      </c>
      <c r="N103" s="2" t="str">
        <f>"机械工程及自动化"</f>
        <v>机械工程及自动化</v>
      </c>
      <c r="O103" s="2" t="str">
        <f t="shared" si="50"/>
        <v>本科</v>
      </c>
      <c r="P103" s="2" t="str">
        <f>"179"</f>
        <v>179</v>
      </c>
      <c r="Q103" s="2" t="str">
        <f>"南通市崇川区市场监督管理局"</f>
        <v>南通市崇川区市场监督管理局</v>
      </c>
      <c r="R103" s="2" t="str">
        <f>"2014.11"</f>
        <v>2014.11</v>
      </c>
      <c r="S103" s="2" t="str">
        <f>"江苏省兴化市新城北村1号401"</f>
        <v>江苏省兴化市新城北村1号401</v>
      </c>
      <c r="T103" s="2" t="str">
        <f>"225700"</f>
        <v>225700</v>
      </c>
      <c r="U103" s="2" t="str">
        <f>"无"</f>
        <v>无</v>
      </c>
      <c r="V103" s="2" t="str">
        <f>"18862203875"</f>
        <v>18862203875</v>
      </c>
      <c r="W103" s="2" t="str">
        <f>"无"</f>
        <v>无</v>
      </c>
      <c r="X103" s="2" t="str">
        <f t="shared" si="62"/>
        <v>否</v>
      </c>
      <c r="Y103" s="2" t="str">
        <f>"无"</f>
        <v>无</v>
      </c>
      <c r="Z103" s="2" t="str">
        <f>"无"</f>
        <v>无</v>
      </c>
      <c r="AA103" s="2" t="str">
        <f>"父子|姜世涛|上海康可纳自控设备有限公司|母子|常学岭|兴化市造纸厂   退休||||||"</f>
        <v>父子|姜世涛|上海康可纳自控设备有限公司|母子|常学岭|兴化市造纸厂   退休||||||</v>
      </c>
      <c r="AB103" s="2" t="str">
        <f>"2007.9-2010.6 江苏省兴化中学学生_x000D_
2010.9-2014.6 苏州大学应用技术学院学生_x000D_
2014.11-2016.10 昆山同和热处理工业炉有限公司 品质管理_x000D_
2017.9---  江苏省南通市崇川区市场监督管理局 辅助行政执法"</f>
        <v>2007.9-2010.6 江苏省兴化中学学生_x000D_
2010.9-2014.6 苏州大学应用技术学院学生_x000D_
2014.11-2016.10 昆山同和热处理工业炉有限公司 品质管理_x000D_
2017.9---  江苏省南通市崇川区市场监督管理局 辅助行政执法</v>
      </c>
      <c r="AC103" s="2" t="str">
        <f t="shared" si="60"/>
        <v>无</v>
      </c>
      <c r="AD103" s="2" t="str">
        <f>""</f>
        <v/>
      </c>
      <c r="AE103" s="4">
        <v>43431.430115740739</v>
      </c>
      <c r="AF103" s="2">
        <v>1</v>
      </c>
      <c r="AG103" s="2">
        <v>1</v>
      </c>
      <c r="AH103" s="2">
        <v>1</v>
      </c>
      <c r="AI103" s="2" t="str">
        <f>"18002026304"</f>
        <v>18002026304</v>
      </c>
      <c r="AJ103" s="2">
        <v>63</v>
      </c>
      <c r="AK103" s="2">
        <v>4</v>
      </c>
      <c r="AL103" s="2" t="s">
        <v>42</v>
      </c>
      <c r="AM103" s="2" t="s">
        <v>43</v>
      </c>
      <c r="AN103" s="2">
        <v>2</v>
      </c>
      <c r="AO103" s="2">
        <v>6295</v>
      </c>
      <c r="AP103" s="2" t="s">
        <v>309</v>
      </c>
      <c r="AQ103" s="2"/>
      <c r="AR103" s="2" t="s">
        <v>330</v>
      </c>
      <c r="AS103" s="3" t="s">
        <v>331</v>
      </c>
      <c r="AT103" s="2" t="s">
        <v>117</v>
      </c>
      <c r="AU103" s="2" t="s">
        <v>117</v>
      </c>
      <c r="AV103" s="7">
        <v>74.7</v>
      </c>
      <c r="AW103" s="2">
        <v>2</v>
      </c>
      <c r="AX103" s="2"/>
      <c r="AY103" s="2"/>
    </row>
    <row r="104" spans="1:51" ht="18.75" customHeight="1">
      <c r="A104" t="str">
        <f>"100220181126090600214"</f>
        <v>100220181126090600214</v>
      </c>
      <c r="B104" s="9">
        <v>102</v>
      </c>
      <c r="C104" s="2" t="s">
        <v>306</v>
      </c>
      <c r="D104" s="2" t="str">
        <f>"李云龙"</f>
        <v>李云龙</v>
      </c>
      <c r="E104" s="2" t="str">
        <f t="shared" si="61"/>
        <v>男</v>
      </c>
      <c r="F104" s="2" t="str">
        <f>"1992-06-17"</f>
        <v>1992-06-17</v>
      </c>
      <c r="G104" s="2" t="str">
        <f>"372922199206175732"</f>
        <v>372922199206175732</v>
      </c>
      <c r="H104" s="2" t="str">
        <f>"山东省曹县"</f>
        <v>山东省曹县</v>
      </c>
      <c r="I104" s="2" t="str">
        <f t="shared" si="63"/>
        <v>非应届生</v>
      </c>
      <c r="J104" s="2" t="str">
        <f t="shared" si="58"/>
        <v>无</v>
      </c>
      <c r="K104" s="2" t="str">
        <f>"2015.06"</f>
        <v>2015.06</v>
      </c>
      <c r="L104" s="2" t="str">
        <f t="shared" ref="L104:L111" si="64">"学士"</f>
        <v>学士</v>
      </c>
      <c r="M104" s="2" t="str">
        <f>"烟台南山学院"</f>
        <v>烟台南山学院</v>
      </c>
      <c r="N104" s="2" t="str">
        <f>"机械设计制造及其自动化"</f>
        <v>机械设计制造及其自动化</v>
      </c>
      <c r="O104" s="2" t="str">
        <f t="shared" si="50"/>
        <v>本科</v>
      </c>
      <c r="P104" s="2" t="str">
        <f>"165"</f>
        <v>165</v>
      </c>
      <c r="Q104" s="2" t="str">
        <f>"无"</f>
        <v>无</v>
      </c>
      <c r="R104" s="2" t="str">
        <f>"2015.12"</f>
        <v>2015.12</v>
      </c>
      <c r="S104" s="2" t="str">
        <f>"秦皇岛市海港区康乐里35栋原味香汤馆"</f>
        <v>秦皇岛市海港区康乐里35栋原味香汤馆</v>
      </c>
      <c r="T104" s="2" t="str">
        <f>"066000"</f>
        <v>066000</v>
      </c>
      <c r="U104" s="2" t="str">
        <f>"16620995677"</f>
        <v>16620995677</v>
      </c>
      <c r="V104" s="2" t="str">
        <f>"16620995677"</f>
        <v>16620995677</v>
      </c>
      <c r="W104" s="2" t="str">
        <f>"无"</f>
        <v>无</v>
      </c>
      <c r="X104" s="2" t="str">
        <f t="shared" si="62"/>
        <v>否</v>
      </c>
      <c r="Y104" s="2" t="str">
        <f>"大学英语四级"</f>
        <v>大学英语四级</v>
      </c>
      <c r="Z104" s="2" t="str">
        <f>"熟练"</f>
        <v>熟练</v>
      </c>
      <c r="AA104" s="2" t="str">
        <f>"父亲|李运山|个体|母亲|张永爱|个体||||||"</f>
        <v>父亲|李运山|个体|母亲|张永爱|个体||||||</v>
      </c>
      <c r="AB104" s="2" t="str">
        <f>"2008.09-2011.06 曹县三桐中学 学生_x000D_
2011.09-2015.06 烟台南山学院机械设计制造及其自动化专业 学生_x000D_
2015.12至今待业"</f>
        <v>2008.09-2011.06 曹县三桐中学 学生_x000D_
2011.09-2015.06 烟台南山学院机械设计制造及其自动化专业 学生_x000D_
2015.12至今待业</v>
      </c>
      <c r="AC104" s="2" t="str">
        <f t="shared" si="60"/>
        <v>无</v>
      </c>
      <c r="AD104" s="2" t="str">
        <f>""</f>
        <v/>
      </c>
      <c r="AE104" s="4">
        <v>43430.444930555554</v>
      </c>
      <c r="AF104" s="2">
        <v>1</v>
      </c>
      <c r="AG104" s="2">
        <v>1</v>
      </c>
      <c r="AH104" s="2">
        <v>5</v>
      </c>
      <c r="AI104" s="2" t="str">
        <f>"18002026501"</f>
        <v>18002026501</v>
      </c>
      <c r="AJ104" s="2">
        <v>65</v>
      </c>
      <c r="AK104" s="2">
        <v>1</v>
      </c>
      <c r="AL104" s="2" t="s">
        <v>42</v>
      </c>
      <c r="AM104" s="2" t="s">
        <v>43</v>
      </c>
      <c r="AN104" s="2">
        <v>2</v>
      </c>
      <c r="AO104" s="2">
        <v>8769</v>
      </c>
      <c r="AP104" s="2" t="s">
        <v>311</v>
      </c>
      <c r="AQ104" s="2"/>
      <c r="AR104" s="2" t="s">
        <v>330</v>
      </c>
      <c r="AS104" s="3" t="s">
        <v>331</v>
      </c>
      <c r="AT104" s="2" t="s">
        <v>117</v>
      </c>
      <c r="AU104" s="2" t="s">
        <v>117</v>
      </c>
      <c r="AV104" s="7">
        <v>74.349999999999994</v>
      </c>
      <c r="AW104" s="2">
        <v>3</v>
      </c>
      <c r="AX104" s="2"/>
      <c r="AY104" s="2"/>
    </row>
    <row r="105" spans="1:51" ht="18.75" customHeight="1">
      <c r="A105" t="str">
        <f>"1002201811261430541888"</f>
        <v>1002201811261430541888</v>
      </c>
      <c r="B105" s="9">
        <v>103</v>
      </c>
      <c r="C105" s="2" t="s">
        <v>306</v>
      </c>
      <c r="D105" s="2" t="str">
        <f>"吴洪钊"</f>
        <v>吴洪钊</v>
      </c>
      <c r="E105" s="2" t="str">
        <f t="shared" si="61"/>
        <v>男</v>
      </c>
      <c r="F105" s="2" t="str">
        <f>"1994-02-21"</f>
        <v>1994-02-21</v>
      </c>
      <c r="G105" s="2" t="str">
        <f>"32128219940221221X"</f>
        <v>32128219940221221X</v>
      </c>
      <c r="H105" s="2" t="str">
        <f>"江苏省靖江市"</f>
        <v>江苏省靖江市</v>
      </c>
      <c r="I105" s="2" t="str">
        <f t="shared" si="63"/>
        <v>非应届生</v>
      </c>
      <c r="J105" s="2" t="str">
        <f t="shared" si="58"/>
        <v>无</v>
      </c>
      <c r="K105" s="2" t="str">
        <f>"2016.06"</f>
        <v>2016.06</v>
      </c>
      <c r="L105" s="2" t="str">
        <f t="shared" si="64"/>
        <v>学士</v>
      </c>
      <c r="M105" s="2" t="str">
        <f>"南京航空航天大学金城学院"</f>
        <v>南京航空航天大学金城学院</v>
      </c>
      <c r="N105" s="2" t="str">
        <f>"机械工程及自动化"</f>
        <v>机械工程及自动化</v>
      </c>
      <c r="O105" s="2" t="str">
        <f t="shared" si="50"/>
        <v>本科</v>
      </c>
      <c r="P105" s="2" t="str">
        <f>"173"</f>
        <v>173</v>
      </c>
      <c r="Q105" s="2" t="str">
        <f>"无锡市锡城公证处"</f>
        <v>无锡市锡城公证处</v>
      </c>
      <c r="R105" s="2" t="str">
        <f>"2016.10"</f>
        <v>2016.10</v>
      </c>
      <c r="S105" s="2" t="str">
        <f>"江苏省靖江市靖城镇越江村小圩44号"</f>
        <v>江苏省靖江市靖城镇越江村小圩44号</v>
      </c>
      <c r="T105" s="2" t="str">
        <f>"214500"</f>
        <v>214500</v>
      </c>
      <c r="U105" s="2" t="str">
        <f>"0523-84651485"</f>
        <v>0523-84651485</v>
      </c>
      <c r="V105" s="2" t="str">
        <f>"15961068118"</f>
        <v>15961068118</v>
      </c>
      <c r="W105" s="2" t="str">
        <f>"熟练"</f>
        <v>熟练</v>
      </c>
      <c r="X105" s="2" t="str">
        <f t="shared" si="62"/>
        <v>否</v>
      </c>
      <c r="Y105" s="2" t="str">
        <f>"熟练"</f>
        <v>熟练</v>
      </c>
      <c r="Z105" s="2" t="str">
        <f>"熟练"</f>
        <v>熟练</v>
      </c>
      <c r="AA105" s="2" t="str">
        <f>"父子|吴跃进|靖江黄埔机械制造有限公司|母子|陈和平|已退休||||||"</f>
        <v>父子|吴跃进|靖江黄埔机械制造有限公司|母子|陈和平|已退休||||||</v>
      </c>
      <c r="AB105" s="2" t="str">
        <f>"2009.09-2012.06 江苏省靖江高级中学 学生_x000D_
2012.09-2016.06 南京航空航天大学金城学院机电工程系机械工程及自动化专业 学生_x000D_
2016.10-2017.06 江苏金秋竹集团有限公司 机械设计员_x000D_
2018.07-2018.09 靖江地震局 地震监测_x000D_
2018.10至今 无锡市锡城公证处 公证员助理"</f>
        <v>2009.09-2012.06 江苏省靖江高级中学 学生_x000D_
2012.09-2016.06 南京航空航天大学金城学院机电工程系机械工程及自动化专业 学生_x000D_
2016.10-2017.06 江苏金秋竹集团有限公司 机械设计员_x000D_
2018.07-2018.09 靖江地震局 地震监测_x000D_
2018.10至今 无锡市锡城公证处 公证员助理</v>
      </c>
      <c r="AC105" s="2" t="str">
        <f t="shared" si="60"/>
        <v>无</v>
      </c>
      <c r="AD105" s="2" t="str">
        <f>"无"</f>
        <v>无</v>
      </c>
      <c r="AE105" s="4">
        <v>43430.685798611114</v>
      </c>
      <c r="AF105" s="2">
        <v>1</v>
      </c>
      <c r="AG105" s="2">
        <v>1</v>
      </c>
      <c r="AH105" s="2">
        <v>2</v>
      </c>
      <c r="AI105" s="2" t="str">
        <f>"18002026401"</f>
        <v>18002026401</v>
      </c>
      <c r="AJ105" s="2">
        <v>64</v>
      </c>
      <c r="AK105" s="2">
        <v>1</v>
      </c>
      <c r="AL105" s="2" t="s">
        <v>42</v>
      </c>
      <c r="AM105" s="2" t="s">
        <v>43</v>
      </c>
      <c r="AN105" s="2">
        <v>2</v>
      </c>
      <c r="AO105" s="2">
        <v>7424</v>
      </c>
      <c r="AP105" s="2" t="s">
        <v>310</v>
      </c>
      <c r="AQ105" s="2"/>
      <c r="AR105" s="2" t="s">
        <v>330</v>
      </c>
      <c r="AS105" s="3" t="s">
        <v>331</v>
      </c>
      <c r="AT105" s="2" t="s">
        <v>117</v>
      </c>
      <c r="AU105" s="2" t="s">
        <v>117</v>
      </c>
      <c r="AV105" s="7">
        <v>73.349999999999994</v>
      </c>
      <c r="AW105" s="2">
        <v>4</v>
      </c>
      <c r="AX105" s="2"/>
      <c r="AY105" s="2"/>
    </row>
    <row r="106" spans="1:51" ht="18.75" customHeight="1">
      <c r="A106" t="str">
        <f>"1002201811271044343445"</f>
        <v>1002201811271044343445</v>
      </c>
      <c r="B106" s="9">
        <v>104</v>
      </c>
      <c r="C106" s="2" t="s">
        <v>306</v>
      </c>
      <c r="D106" s="2" t="str">
        <f>"陆小波"</f>
        <v>陆小波</v>
      </c>
      <c r="E106" s="2" t="str">
        <f t="shared" si="61"/>
        <v>男</v>
      </c>
      <c r="F106" s="2" t="str">
        <f>"1991-12-07"</f>
        <v>1991-12-07</v>
      </c>
      <c r="G106" s="2" t="str">
        <f>"320623199112073515"</f>
        <v>320623199112073515</v>
      </c>
      <c r="H106" s="2" t="str">
        <f>"江苏省如东县丰利镇双灰山村五组104号"</f>
        <v>江苏省如东县丰利镇双灰山村五组104号</v>
      </c>
      <c r="I106" s="2" t="str">
        <f t="shared" si="63"/>
        <v>非应届生</v>
      </c>
      <c r="J106" s="2" t="str">
        <f t="shared" si="58"/>
        <v>无</v>
      </c>
      <c r="K106" s="2" t="str">
        <f>"2014.06"</f>
        <v>2014.06</v>
      </c>
      <c r="L106" s="2" t="str">
        <f t="shared" si="64"/>
        <v>学士</v>
      </c>
      <c r="M106" s="2" t="str">
        <f>"南京理工大学"</f>
        <v>南京理工大学</v>
      </c>
      <c r="N106" s="2" t="str">
        <f>"材料成型及控制"</f>
        <v>材料成型及控制</v>
      </c>
      <c r="O106" s="2" t="str">
        <f t="shared" si="50"/>
        <v>本科</v>
      </c>
      <c r="P106" s="2" t="str">
        <f>"178"</f>
        <v>178</v>
      </c>
      <c r="Q106" s="2" t="str">
        <f>"南通通富微电子股份有限公司"</f>
        <v>南通通富微电子股份有限公司</v>
      </c>
      <c r="R106" s="2" t="str">
        <f>"2014.07"</f>
        <v>2014.07</v>
      </c>
      <c r="S106" s="2" t="str">
        <f>"江苏省如东县丰利镇双灰山村五组"</f>
        <v>江苏省如东县丰利镇双灰山村五组</v>
      </c>
      <c r="T106" s="2" t="str">
        <f>"226408"</f>
        <v>226408</v>
      </c>
      <c r="U106" s="2" t="str">
        <f>"无"</f>
        <v>无</v>
      </c>
      <c r="V106" s="2" t="str">
        <f>"13584608573"</f>
        <v>13584608573</v>
      </c>
      <c r="W106" s="2" t="str">
        <f>"二级乙等"</f>
        <v>二级乙等</v>
      </c>
      <c r="X106" s="2" t="str">
        <f t="shared" si="62"/>
        <v>否</v>
      </c>
      <c r="Y106" s="2" t="str">
        <f>"CET-6"</f>
        <v>CET-6</v>
      </c>
      <c r="Z106" s="2" t="str">
        <f>"熟练"</f>
        <v>熟练</v>
      </c>
      <c r="AA106" s="2" t="str">
        <f>"父亲|陆修华|务农|母亲|刘明秀|务农||||||"</f>
        <v>父亲|陆修华|务农|母亲|刘明秀|务农||||||</v>
      </c>
      <c r="AB106" s="2" t="str">
        <f>"2007.09-2010.06 如东高级中学 学生_x000D_
2010.09-2014.06 南京理工大学 学生_x000D_
2014.07-2014.10 湖南中建五局 实验员_x000D_
2014.11-2016.03 南通汇鼎国际贸易有限公司 业务员_x000D_
2016.06-2017.04 南通文洪印刷机械有限公司 质检员_x000D_
2017.06至今 南通通富微电子有限公司 工艺工程师"</f>
        <v>2007.09-2010.06 如东高级中学 学生_x000D_
2010.09-2014.06 南京理工大学 学生_x000D_
2014.07-2014.10 湖南中建五局 实验员_x000D_
2014.11-2016.03 南通汇鼎国际贸易有限公司 业务员_x000D_
2016.06-2017.04 南通文洪印刷机械有限公司 质检员_x000D_
2017.06至今 南通通富微电子有限公司 工艺工程师</v>
      </c>
      <c r="AC106" s="2" t="str">
        <f t="shared" si="60"/>
        <v>无</v>
      </c>
      <c r="AD106" s="2" t="str">
        <f>""</f>
        <v/>
      </c>
      <c r="AE106" s="4">
        <v>43432.414293981485</v>
      </c>
      <c r="AF106" s="2">
        <v>1</v>
      </c>
      <c r="AG106" s="2">
        <v>1</v>
      </c>
      <c r="AH106" s="2">
        <v>2</v>
      </c>
      <c r="AI106" s="2" t="str">
        <f>"18002026114"</f>
        <v>18002026114</v>
      </c>
      <c r="AJ106" s="2">
        <v>61</v>
      </c>
      <c r="AK106" s="2">
        <v>14</v>
      </c>
      <c r="AL106" s="2" t="s">
        <v>42</v>
      </c>
      <c r="AM106" s="2" t="s">
        <v>43</v>
      </c>
      <c r="AN106" s="2">
        <v>2</v>
      </c>
      <c r="AO106" s="2">
        <v>4961</v>
      </c>
      <c r="AP106" s="2" t="s">
        <v>308</v>
      </c>
      <c r="AQ106" s="2"/>
      <c r="AR106" s="2" t="s">
        <v>330</v>
      </c>
      <c r="AS106" s="3" t="s">
        <v>331</v>
      </c>
      <c r="AT106" s="2" t="s">
        <v>117</v>
      </c>
      <c r="AU106" s="2" t="s">
        <v>117</v>
      </c>
      <c r="AV106" s="7">
        <v>72.099999999999994</v>
      </c>
      <c r="AW106" s="2">
        <v>5</v>
      </c>
      <c r="AX106" s="2"/>
      <c r="AY106" s="2"/>
    </row>
    <row r="107" spans="1:51" ht="18.75" customHeight="1">
      <c r="A107" t="str">
        <f>"100220181126092415413"</f>
        <v>100220181126092415413</v>
      </c>
      <c r="B107" s="9">
        <v>105</v>
      </c>
      <c r="C107" s="2" t="s">
        <v>306</v>
      </c>
      <c r="D107" s="2" t="str">
        <f>"杨熠"</f>
        <v>杨熠</v>
      </c>
      <c r="E107" s="2" t="str">
        <f t="shared" si="61"/>
        <v>男</v>
      </c>
      <c r="F107" s="2" t="str">
        <f>"1988-09-26"</f>
        <v>1988-09-26</v>
      </c>
      <c r="G107" s="2" t="str">
        <f>"612426198809267613"</f>
        <v>612426198809267613</v>
      </c>
      <c r="H107" s="2" t="str">
        <f>"江苏省东台市"</f>
        <v>江苏省东台市</v>
      </c>
      <c r="I107" s="2" t="str">
        <f t="shared" si="63"/>
        <v>非应届生</v>
      </c>
      <c r="J107" s="2" t="str">
        <f>"助理工程师"</f>
        <v>助理工程师</v>
      </c>
      <c r="K107" s="2" t="str">
        <f>"2012.06"</f>
        <v>2012.06</v>
      </c>
      <c r="L107" s="2" t="str">
        <f t="shared" si="64"/>
        <v>学士</v>
      </c>
      <c r="M107" s="2" t="str">
        <f>"盐城工学院"</f>
        <v>盐城工学院</v>
      </c>
      <c r="N107" s="2" t="str">
        <f>"机械设计制造及其自动化"</f>
        <v>机械设计制造及其自动化</v>
      </c>
      <c r="O107" s="2" t="str">
        <f t="shared" si="50"/>
        <v>本科</v>
      </c>
      <c r="P107" s="2" t="str">
        <f>"170"</f>
        <v>170</v>
      </c>
      <c r="Q107" s="2" t="str">
        <f>"东台市堤东灌区管理处"</f>
        <v>东台市堤东灌区管理处</v>
      </c>
      <c r="R107" s="2" t="str">
        <f>"2012.07"</f>
        <v>2012.07</v>
      </c>
      <c r="S107" s="2" t="str">
        <f>"江苏省盐城市东台市北海东路6号"</f>
        <v>江苏省盐城市东台市北海东路6号</v>
      </c>
      <c r="T107" s="2" t="str">
        <f>"224200"</f>
        <v>224200</v>
      </c>
      <c r="U107" s="2" t="str">
        <f>"无"</f>
        <v>无</v>
      </c>
      <c r="V107" s="2" t="str">
        <f>"13382626233"</f>
        <v>13382626233</v>
      </c>
      <c r="W107" s="2" t="str">
        <f>"无"</f>
        <v>无</v>
      </c>
      <c r="X107" s="2" t="str">
        <f t="shared" si="62"/>
        <v>否</v>
      </c>
      <c r="Y107" s="2" t="str">
        <f>"无"</f>
        <v>无</v>
      </c>
      <c r="Z107" s="2" t="str">
        <f>"国家二级"</f>
        <v>国家二级</v>
      </c>
      <c r="AA107" s="2" t="str">
        <f>"妻子|王宗艳|如皋市综合检查中心|||||||||"</f>
        <v>妻子|王宗艳|如皋市综合检查中心|||||||||</v>
      </c>
      <c r="AB107" s="2" t="str">
        <f>"2004.09-2008.06 岚皋县岚皋中学 学生_x000D_
2008.09-2012.06 盐城工学院机械设计制造及其自动化专业 学生_x000D_
2012.07-2014.07 江苏神工灶具有限公司 职员_x000D_
2014.08至今 东台市堤东灌区管理处 职工_x000D_
"</f>
        <v xml:space="preserve">2004.09-2008.06 岚皋县岚皋中学 学生_x000D_
2008.09-2012.06 盐城工学院机械设计制造及其自动化专业 学生_x000D_
2012.07-2014.07 江苏神工灶具有限公司 职员_x000D_
2014.08至今 东台市堤东灌区管理处 职工_x000D_
</v>
      </c>
      <c r="AC107" s="2" t="str">
        <f t="shared" si="60"/>
        <v>无</v>
      </c>
      <c r="AD107" s="2" t="str">
        <f>""</f>
        <v/>
      </c>
      <c r="AE107" s="4">
        <v>43430.463229166664</v>
      </c>
      <c r="AF107" s="2">
        <v>1</v>
      </c>
      <c r="AG107" s="2">
        <v>1</v>
      </c>
      <c r="AH107" s="2">
        <v>2</v>
      </c>
      <c r="AI107" s="2" t="str">
        <f>"18002025714"</f>
        <v>18002025714</v>
      </c>
      <c r="AJ107" s="2">
        <v>57</v>
      </c>
      <c r="AK107" s="2">
        <v>14</v>
      </c>
      <c r="AL107" s="2" t="s">
        <v>42</v>
      </c>
      <c r="AM107" s="2" t="s">
        <v>43</v>
      </c>
      <c r="AN107" s="2">
        <v>2</v>
      </c>
      <c r="AO107" s="2">
        <v>34</v>
      </c>
      <c r="AP107" s="2" t="s">
        <v>307</v>
      </c>
      <c r="AQ107" s="2"/>
      <c r="AR107" s="2" t="s">
        <v>330</v>
      </c>
      <c r="AS107" s="3" t="s">
        <v>331</v>
      </c>
      <c r="AT107" s="2" t="s">
        <v>117</v>
      </c>
      <c r="AU107" s="2" t="s">
        <v>117</v>
      </c>
      <c r="AV107" s="7">
        <v>72</v>
      </c>
      <c r="AW107" s="2">
        <v>6</v>
      </c>
      <c r="AX107" s="2"/>
      <c r="AY107" s="2"/>
    </row>
    <row r="108" spans="1:51" ht="18.75" customHeight="1">
      <c r="A108" t="str">
        <f>"1002201811271009043355"</f>
        <v>1002201811271009043355</v>
      </c>
      <c r="B108" s="9">
        <v>106</v>
      </c>
      <c r="C108" s="2" t="s">
        <v>312</v>
      </c>
      <c r="D108" s="2" t="str">
        <f>"郁宋贤"</f>
        <v>郁宋贤</v>
      </c>
      <c r="E108" s="2" t="str">
        <f>"女"</f>
        <v>女</v>
      </c>
      <c r="F108" s="2" t="str">
        <f>"1994-08-15"</f>
        <v>1994-08-15</v>
      </c>
      <c r="G108" s="2" t="str">
        <f>"320681199408151045"</f>
        <v>320681199408151045</v>
      </c>
      <c r="H108" s="2" t="str">
        <f>"江苏省南通市启东市"</f>
        <v>江苏省南通市启东市</v>
      </c>
      <c r="I108" s="2" t="str">
        <f t="shared" si="63"/>
        <v>非应届生</v>
      </c>
      <c r="J108" s="2" t="str">
        <f t="shared" ref="J108:J116" si="65">"无"</f>
        <v>无</v>
      </c>
      <c r="K108" s="2" t="str">
        <f>"2016.06"</f>
        <v>2016.06</v>
      </c>
      <c r="L108" s="2" t="str">
        <f t="shared" si="64"/>
        <v>学士</v>
      </c>
      <c r="M108" s="2" t="str">
        <f>"南京工程学院"</f>
        <v>南京工程学院</v>
      </c>
      <c r="N108" s="2" t="str">
        <f>"热能与动力工程（制冷与空调工程）"</f>
        <v>热能与动力工程（制冷与空调工程）</v>
      </c>
      <c r="O108" s="2" t="str">
        <f t="shared" si="50"/>
        <v>本科</v>
      </c>
      <c r="P108" s="2" t="str">
        <f>"158"</f>
        <v>158</v>
      </c>
      <c r="Q108" s="2" t="str">
        <f>"南京西岗街道物业服务有限公司"</f>
        <v>南京西岗街道物业服务有限公司</v>
      </c>
      <c r="R108" s="2" t="str">
        <f>"2016.08"</f>
        <v>2016.08</v>
      </c>
      <c r="S108" s="2" t="str">
        <f>"南京市栖霞区西岗街道晶都茗苑7栋807"</f>
        <v>南京市栖霞区西岗街道晶都茗苑7栋807</v>
      </c>
      <c r="T108" s="2" t="str">
        <f>"210033"</f>
        <v>210033</v>
      </c>
      <c r="U108" s="2" t="str">
        <f>"无"</f>
        <v>无</v>
      </c>
      <c r="V108" s="2" t="str">
        <f>"15651790232"</f>
        <v>15651790232</v>
      </c>
      <c r="W108" s="2" t="str">
        <f>"无"</f>
        <v>无</v>
      </c>
      <c r="X108" s="2" t="str">
        <f t="shared" si="62"/>
        <v>否</v>
      </c>
      <c r="Y108" s="2" t="str">
        <f>"CET-4"</f>
        <v>CET-4</v>
      </c>
      <c r="Z108" s="2" t="str">
        <f>"全国二级"</f>
        <v>全国二级</v>
      </c>
      <c r="AA108" s="2" t="str">
        <f>"父亲|郁建冲|南京共想空间设计有限公司|母亲|徐辉|个体户||||||"</f>
        <v>父亲|郁建冲|南京共想空间设计有限公司|母亲|徐辉|个体户||||||</v>
      </c>
      <c r="AB108" s="2" t="str">
        <f>"2009.09-2012.06 启东市汇龙中学 学生 _x000D_
2012.09-2016.06 南京工程学院 能源与动力工程专业 学生_x000D_
2016.08-2017.05 大金（中国）投资有限公司南京分公司 商用CP营业担当_x000D_
2017.06-2018.01 乐金显示（南京）有限公司 Cell技术工程师_x000D_
2018.01-2018.06 南京升迈装饰工程有限公司 暖通工程师_x000D_
2018.07至今 南京市西岗街道物业服务有限公司 西岗街道党政办工作人员"</f>
        <v>2009.09-2012.06 启东市汇龙中学 学生 _x000D_
2012.09-2016.06 南京工程学院 能源与动力工程专业 学生_x000D_
2016.08-2017.05 大金（中国）投资有限公司南京分公司 商用CP营业担当_x000D_
2017.06-2018.01 乐金显示（南京）有限公司 Cell技术工程师_x000D_
2018.01-2018.06 南京升迈装饰工程有限公司 暖通工程师_x000D_
2018.07至今 南京市西岗街道物业服务有限公司 西岗街道党政办工作人员</v>
      </c>
      <c r="AC108" s="2" t="str">
        <f>"2013~2014年 南京工程学院连续两年获国家励志奖学金_x000D_
2012~2013年 南京工程学院优秀团干部、院三好学生"</f>
        <v>2013~2014年 南京工程学院连续两年获国家励志奖学金_x000D_
2012~2013年 南京工程学院优秀团干部、院三好学生</v>
      </c>
      <c r="AD108" s="2" t="str">
        <f>"实习经历：2016年3月-2016年7月 大金（中国）投资有限公司 商用CP营业担当"</f>
        <v>实习经历：2016年3月-2016年7月 大金（中国）投资有限公司 商用CP营业担当</v>
      </c>
      <c r="AE108" s="4">
        <v>43431.689652777779</v>
      </c>
      <c r="AF108" s="2">
        <v>1</v>
      </c>
      <c r="AG108" s="2">
        <v>1</v>
      </c>
      <c r="AH108" s="2">
        <v>2</v>
      </c>
      <c r="AI108" s="2" t="str">
        <f>"18002026609"</f>
        <v>18002026609</v>
      </c>
      <c r="AJ108" s="2">
        <v>66</v>
      </c>
      <c r="AK108" s="2">
        <v>9</v>
      </c>
      <c r="AL108" s="2" t="s">
        <v>42</v>
      </c>
      <c r="AM108" s="2" t="s">
        <v>43</v>
      </c>
      <c r="AN108" s="2">
        <v>2</v>
      </c>
      <c r="AO108" s="2">
        <v>15</v>
      </c>
      <c r="AP108" s="2" t="s">
        <v>313</v>
      </c>
      <c r="AQ108" s="2"/>
      <c r="AR108" s="2" t="s">
        <v>330</v>
      </c>
      <c r="AS108" s="3" t="s">
        <v>331</v>
      </c>
      <c r="AT108" s="2" t="s">
        <v>117</v>
      </c>
      <c r="AU108" s="2" t="s">
        <v>117</v>
      </c>
      <c r="AV108" s="7">
        <v>73</v>
      </c>
      <c r="AW108" s="2">
        <v>1</v>
      </c>
      <c r="AX108" s="2"/>
      <c r="AY108" s="2"/>
    </row>
    <row r="109" spans="1:51" ht="18.75" customHeight="1">
      <c r="A109" t="str">
        <f>"1002201811261401301803"</f>
        <v>1002201811261401301803</v>
      </c>
      <c r="B109" s="9">
        <v>107</v>
      </c>
      <c r="C109" s="2" t="s">
        <v>312</v>
      </c>
      <c r="D109" s="2" t="str">
        <f>"王宇"</f>
        <v>王宇</v>
      </c>
      <c r="E109" s="2" t="str">
        <f>"女"</f>
        <v>女</v>
      </c>
      <c r="F109" s="2" t="str">
        <f>"1994-03-22"</f>
        <v>1994-03-22</v>
      </c>
      <c r="G109" s="2" t="str">
        <f>"321283199403221229"</f>
        <v>321283199403221229</v>
      </c>
      <c r="H109" s="2" t="str">
        <f>"江苏省泰兴市"</f>
        <v>江苏省泰兴市</v>
      </c>
      <c r="I109" s="2" t="str">
        <f t="shared" si="63"/>
        <v>非应届生</v>
      </c>
      <c r="J109" s="2" t="str">
        <f t="shared" si="65"/>
        <v>无</v>
      </c>
      <c r="K109" s="2" t="str">
        <f>"2016.07"</f>
        <v>2016.07</v>
      </c>
      <c r="L109" s="2" t="str">
        <f t="shared" si="64"/>
        <v>学士</v>
      </c>
      <c r="M109" s="2" t="str">
        <f>"上海理工大学"</f>
        <v>上海理工大学</v>
      </c>
      <c r="N109" s="2" t="str">
        <f>"新能源科学与工程"</f>
        <v>新能源科学与工程</v>
      </c>
      <c r="O109" s="2" t="str">
        <f t="shared" si="50"/>
        <v>本科</v>
      </c>
      <c r="P109" s="2" t="str">
        <f>"162"</f>
        <v>162</v>
      </c>
      <c r="Q109" s="2" t="str">
        <f>"无"</f>
        <v>无</v>
      </c>
      <c r="R109" s="2" t="str">
        <f>"2016.09"</f>
        <v>2016.09</v>
      </c>
      <c r="S109" s="2" t="str">
        <f>"江苏省泰兴市济川路9-27号仁源生大药房"</f>
        <v>江苏省泰兴市济川路9-27号仁源生大药房</v>
      </c>
      <c r="T109" s="2" t="str">
        <f>"225400"</f>
        <v>225400</v>
      </c>
      <c r="U109" s="2" t="str">
        <f>"无"</f>
        <v>无</v>
      </c>
      <c r="V109" s="2" t="str">
        <f>"18817943536"</f>
        <v>18817943536</v>
      </c>
      <c r="W109" s="2" t="str">
        <f>"二级甲等"</f>
        <v>二级甲等</v>
      </c>
      <c r="X109" s="2" t="str">
        <f t="shared" si="62"/>
        <v>否</v>
      </c>
      <c r="Y109" s="2" t="str">
        <f>"CET-6"</f>
        <v>CET-6</v>
      </c>
      <c r="Z109" s="2" t="str">
        <f>"全国计算机二级"</f>
        <v>全国计算机二级</v>
      </c>
      <c r="AA109" s="2" t="str">
        <f>"父女|王亚东|泰兴市第二高级中学|母女|陈彩虹|仁源生大药房||||||"</f>
        <v>父女|王亚东|泰兴市第二高级中学|母女|陈彩虹|仁源生大药房||||||</v>
      </c>
      <c r="AB109" s="2" t="str">
        <f>"2009.09-2012.07 泰兴市第一高级中学 学生_x000D_
2012.09-2016.07 上海理工大学新能源科学与工程专业 学生_x000D_
2016.09-2017.07 上海易班发展企业有限公司 职员_x000D_
2017.08-2018.06 上海市公共安全教育学校 职员"</f>
        <v>2009.09-2012.07 泰兴市第一高级中学 学生_x000D_
2012.09-2016.07 上海理工大学新能源科学与工程专业 学生_x000D_
2016.09-2017.07 上海易班发展企业有限公司 职员_x000D_
2017.08-2018.06 上海市公共安全教育学校 职员</v>
      </c>
      <c r="AC109" s="2" t="str">
        <f>"无"</f>
        <v>无</v>
      </c>
      <c r="AD109" s="2" t="str">
        <f>""</f>
        <v/>
      </c>
      <c r="AE109" s="4">
        <v>43430.886296296296</v>
      </c>
      <c r="AF109" s="2">
        <v>1</v>
      </c>
      <c r="AG109" s="2">
        <v>1</v>
      </c>
      <c r="AH109" s="2">
        <v>1</v>
      </c>
      <c r="AI109" s="2" t="str">
        <f>"18002026619"</f>
        <v>18002026619</v>
      </c>
      <c r="AJ109" s="2">
        <v>66</v>
      </c>
      <c r="AK109" s="2">
        <v>19</v>
      </c>
      <c r="AL109" s="2" t="s">
        <v>42</v>
      </c>
      <c r="AM109" s="2" t="s">
        <v>43</v>
      </c>
      <c r="AN109" s="2">
        <v>2</v>
      </c>
      <c r="AO109" s="2">
        <v>958</v>
      </c>
      <c r="AP109" s="2" t="s">
        <v>314</v>
      </c>
      <c r="AQ109" s="2"/>
      <c r="AR109" s="2" t="s">
        <v>330</v>
      </c>
      <c r="AS109" s="3" t="s">
        <v>331</v>
      </c>
      <c r="AT109" s="2" t="s">
        <v>117</v>
      </c>
      <c r="AU109" s="2" t="s">
        <v>117</v>
      </c>
      <c r="AV109" s="7">
        <v>72</v>
      </c>
      <c r="AW109" s="2">
        <v>2</v>
      </c>
      <c r="AX109" s="2"/>
      <c r="AY109" s="2"/>
    </row>
    <row r="110" spans="1:51" ht="18.75" customHeight="1">
      <c r="A110" t="str">
        <f>"100220181126094536639"</f>
        <v>100220181126094536639</v>
      </c>
      <c r="B110" s="9">
        <v>108</v>
      </c>
      <c r="C110" s="2" t="s">
        <v>312</v>
      </c>
      <c r="D110" s="2" t="str">
        <f>"朱峰"</f>
        <v>朱峰</v>
      </c>
      <c r="E110" s="2" t="str">
        <f>"男"</f>
        <v>男</v>
      </c>
      <c r="F110" s="2" t="str">
        <f>"1991-04-18"</f>
        <v>1991-04-18</v>
      </c>
      <c r="G110" s="2" t="str">
        <f>"654001199104184919"</f>
        <v>654001199104184919</v>
      </c>
      <c r="H110" s="2" t="str">
        <f>"陕西省西安市"</f>
        <v>陕西省西安市</v>
      </c>
      <c r="I110" s="2" t="str">
        <f t="shared" si="63"/>
        <v>非应届生</v>
      </c>
      <c r="J110" s="2" t="str">
        <f t="shared" si="65"/>
        <v>无</v>
      </c>
      <c r="K110" s="2" t="str">
        <f>"2014.07"</f>
        <v>2014.07</v>
      </c>
      <c r="L110" s="2" t="str">
        <f t="shared" si="64"/>
        <v>学士</v>
      </c>
      <c r="M110" s="2" t="str">
        <f>"新疆大学"</f>
        <v>新疆大学</v>
      </c>
      <c r="N110" s="2" t="str">
        <f>"热能与动力工程"</f>
        <v>热能与动力工程</v>
      </c>
      <c r="O110" s="2" t="str">
        <f t="shared" si="50"/>
        <v>本科</v>
      </c>
      <c r="P110" s="2" t="str">
        <f>"180"</f>
        <v>180</v>
      </c>
      <c r="Q110" s="2" t="str">
        <f>"无"</f>
        <v>无</v>
      </c>
      <c r="R110" s="2" t="str">
        <f>"2014.12"</f>
        <v>2014.12</v>
      </c>
      <c r="S110" s="2" t="str">
        <f>"陕西省西安市莲湖区农兴路10号"</f>
        <v>陕西省西安市莲湖区农兴路10号</v>
      </c>
      <c r="T110" s="2" t="str">
        <f>"710016"</f>
        <v>710016</v>
      </c>
      <c r="U110" s="2" t="str">
        <f>"17782835529"</f>
        <v>17782835529</v>
      </c>
      <c r="V110" s="2" t="str">
        <f>"17782835529"</f>
        <v>17782835529</v>
      </c>
      <c r="W110" s="2" t="str">
        <f>"二级乙等"</f>
        <v>二级乙等</v>
      </c>
      <c r="X110" s="2" t="str">
        <f t="shared" si="62"/>
        <v>否</v>
      </c>
      <c r="Y110" s="2" t="str">
        <f>"大学英语CET-4级"</f>
        <v>大学英语CET-4级</v>
      </c>
      <c r="Z110" s="2" t="str">
        <f>"良好"</f>
        <v>良好</v>
      </c>
      <c r="AA110" s="2" t="str">
        <f>"父亲|朱新海|乌鲁木齐星海画室|||||||||"</f>
        <v>父亲|朱新海|乌鲁木齐星海画室|||||||||</v>
      </c>
      <c r="AB110" s="2" t="str">
        <f>"2010.09-2014.07 新疆大学电气工程学院热能与动力工程 学生_x000D_
2014.12-2017.08 北京全四维动力科技有限公司 职员"</f>
        <v>2010.09-2014.07 新疆大学电气工程学院热能与动力工程 学生_x000D_
2014.12-2017.08 北京全四维动力科技有限公司 职员</v>
      </c>
      <c r="AC110" s="2" t="str">
        <f>"无"</f>
        <v>无</v>
      </c>
      <c r="AD110" s="2" t="str">
        <f>"在读新疆大学期间，因成绩优异，经学院选送，大三大四至西安交通大学热能与动力工程专业联合培养，毕业证学位证已示明联合培养。"</f>
        <v>在读新疆大学期间，因成绩优异，经学院选送，大三大四至西安交通大学热能与动力工程专业联合培养，毕业证学位证已示明联合培养。</v>
      </c>
      <c r="AE110" s="4">
        <v>43430.721620370372</v>
      </c>
      <c r="AF110" s="2">
        <v>1</v>
      </c>
      <c r="AG110" s="2">
        <v>1</v>
      </c>
      <c r="AH110" s="2">
        <v>2</v>
      </c>
      <c r="AI110" s="2" t="str">
        <f>"18002026717"</f>
        <v>18002026717</v>
      </c>
      <c r="AJ110" s="2">
        <v>67</v>
      </c>
      <c r="AK110" s="2">
        <v>17</v>
      </c>
      <c r="AL110" s="2" t="s">
        <v>42</v>
      </c>
      <c r="AM110" s="2" t="s">
        <v>43</v>
      </c>
      <c r="AN110" s="2">
        <v>2</v>
      </c>
      <c r="AO110" s="2">
        <v>4916</v>
      </c>
      <c r="AP110" s="2" t="s">
        <v>315</v>
      </c>
      <c r="AQ110" s="2"/>
      <c r="AR110" s="2" t="s">
        <v>330</v>
      </c>
      <c r="AS110" s="3" t="s">
        <v>331</v>
      </c>
      <c r="AT110" s="2" t="s">
        <v>117</v>
      </c>
      <c r="AU110" s="2" t="s">
        <v>117</v>
      </c>
      <c r="AV110" s="7">
        <v>71.900000000000006</v>
      </c>
      <c r="AW110" s="2">
        <v>3</v>
      </c>
      <c r="AX110" s="2"/>
      <c r="AY110" s="2"/>
    </row>
    <row r="111" spans="1:51" ht="18.75" customHeight="1">
      <c r="A111" t="str">
        <f>"1002201811261524442057"</f>
        <v>1002201811261524442057</v>
      </c>
      <c r="B111" s="9">
        <v>109</v>
      </c>
      <c r="C111" s="2" t="s">
        <v>316</v>
      </c>
      <c r="D111" s="2" t="str">
        <f>"周雪蕾"</f>
        <v>周雪蕾</v>
      </c>
      <c r="E111" s="2" t="str">
        <f>"女"</f>
        <v>女</v>
      </c>
      <c r="F111" s="2" t="str">
        <f>"1994-12-15"</f>
        <v>1994-12-15</v>
      </c>
      <c r="G111" s="2" t="str">
        <f>"320682199412150869"</f>
        <v>320682199412150869</v>
      </c>
      <c r="H111" s="2" t="str">
        <f>"江苏南通如皋"</f>
        <v>江苏南通如皋</v>
      </c>
      <c r="I111" s="2" t="str">
        <f t="shared" si="63"/>
        <v>非应届生</v>
      </c>
      <c r="J111" s="2" t="str">
        <f t="shared" si="65"/>
        <v>无</v>
      </c>
      <c r="K111" s="2" t="str">
        <f>"2017.6"</f>
        <v>2017.6</v>
      </c>
      <c r="L111" s="2" t="str">
        <f t="shared" si="64"/>
        <v>学士</v>
      </c>
      <c r="M111" s="2" t="str">
        <f>"南京审计大学"</f>
        <v>南京审计大学</v>
      </c>
      <c r="N111" s="2" t="str">
        <f>"法学（法务会计）"</f>
        <v>法学（法务会计）</v>
      </c>
      <c r="O111" s="2" t="str">
        <f t="shared" si="50"/>
        <v>本科</v>
      </c>
      <c r="P111" s="2" t="str">
        <f>"165"</f>
        <v>165</v>
      </c>
      <c r="Q111" s="2" t="str">
        <f>"无"</f>
        <v>无</v>
      </c>
      <c r="R111" s="2" t="str">
        <f>"无"</f>
        <v>无</v>
      </c>
      <c r="S111" s="2" t="str">
        <f>"江苏省如皋市中交美庐城15栋1单元402"</f>
        <v>江苏省如皋市中交美庐城15栋1单元402</v>
      </c>
      <c r="T111" s="2" t="str">
        <f>"226500"</f>
        <v>226500</v>
      </c>
      <c r="U111" s="2" t="str">
        <f>"87295538"</f>
        <v>87295538</v>
      </c>
      <c r="V111" s="2" t="str">
        <f>"15106271726"</f>
        <v>15106271726</v>
      </c>
      <c r="W111" s="2" t="str">
        <f>"无"</f>
        <v>无</v>
      </c>
      <c r="X111" s="2" t="str">
        <f t="shared" si="62"/>
        <v>否</v>
      </c>
      <c r="Y111" s="2" t="str">
        <f>"英语六级"</f>
        <v>英语六级</v>
      </c>
      <c r="Z111" s="2" t="str">
        <f>"江苏省二级"</f>
        <v>江苏省二级</v>
      </c>
      <c r="AA111" s="2" t="str">
        <f>"父女|周安建|东陈建设服务中心|母女|储开红|无||||||"</f>
        <v>父女|周安建|东陈建设服务中心|母女|储开红|无||||||</v>
      </c>
      <c r="AB111" s="2" t="str">
        <f>"2010.09-2013.06 如皋市第一中学 学生_x000D_
2013.09-2017.06 南京审计大学法学院法务会计专业 学生"</f>
        <v>2010.09-2013.06 如皋市第一中学 学生_x000D_
2013.09-2017.06 南京审计大学法学院法务会计专业 学生</v>
      </c>
      <c r="AC111" s="2" t="str">
        <f>"无"</f>
        <v>无</v>
      </c>
      <c r="AD111" s="2" t="str">
        <f>""</f>
        <v/>
      </c>
      <c r="AE111" s="4">
        <v>43430.879513888889</v>
      </c>
      <c r="AF111" s="2">
        <v>1</v>
      </c>
      <c r="AG111" s="2">
        <v>1</v>
      </c>
      <c r="AH111" s="2">
        <v>3</v>
      </c>
      <c r="AI111" s="2" t="str">
        <f>"18002027103"</f>
        <v>18002027103</v>
      </c>
      <c r="AJ111" s="2">
        <v>71</v>
      </c>
      <c r="AK111" s="2">
        <v>3</v>
      </c>
      <c r="AL111" s="2" t="s">
        <v>42</v>
      </c>
      <c r="AM111" s="2" t="s">
        <v>43</v>
      </c>
      <c r="AN111" s="2">
        <v>2</v>
      </c>
      <c r="AO111" s="2">
        <v>7087</v>
      </c>
      <c r="AP111" s="2" t="s">
        <v>318</v>
      </c>
      <c r="AQ111" s="2"/>
      <c r="AR111" s="2" t="s">
        <v>330</v>
      </c>
      <c r="AS111" s="3" t="s">
        <v>331</v>
      </c>
      <c r="AT111" s="2" t="s">
        <v>117</v>
      </c>
      <c r="AU111" s="2" t="s">
        <v>117</v>
      </c>
      <c r="AV111" s="7">
        <v>78.05</v>
      </c>
      <c r="AW111" s="2">
        <v>1</v>
      </c>
      <c r="AX111" s="2"/>
      <c r="AY111" s="2"/>
    </row>
    <row r="112" spans="1:51" ht="18.75" customHeight="1">
      <c r="A112" t="str">
        <f>"1002201811281314424805"</f>
        <v>1002201811281314424805</v>
      </c>
      <c r="B112" s="9">
        <v>110</v>
      </c>
      <c r="C112" s="2" t="s">
        <v>316</v>
      </c>
      <c r="D112" s="2" t="str">
        <f>"孙超"</f>
        <v>孙超</v>
      </c>
      <c r="E112" s="2" t="str">
        <f>"男"</f>
        <v>男</v>
      </c>
      <c r="F112" s="2" t="str">
        <f>"1984-04-29"</f>
        <v>1984-04-29</v>
      </c>
      <c r="G112" s="2" t="str">
        <f>"341004198404290018"</f>
        <v>341004198404290018</v>
      </c>
      <c r="H112" s="2" t="str">
        <f>"安徽黄山"</f>
        <v>安徽黄山</v>
      </c>
      <c r="I112" s="2" t="str">
        <f t="shared" si="63"/>
        <v>非应届生</v>
      </c>
      <c r="J112" s="2" t="str">
        <f t="shared" si="65"/>
        <v>无</v>
      </c>
      <c r="K112" s="2" t="str">
        <f>"200607"</f>
        <v>200607</v>
      </c>
      <c r="L112" s="2" t="str">
        <f>"无"</f>
        <v>无</v>
      </c>
      <c r="M112" s="2" t="str">
        <f>"国家开放大学"</f>
        <v>国家开放大学</v>
      </c>
      <c r="N112" s="2" t="str">
        <f t="shared" ref="N112:N113" si="66">"法学"</f>
        <v>法学</v>
      </c>
      <c r="O112" s="2" t="str">
        <f t="shared" si="50"/>
        <v>本科</v>
      </c>
      <c r="P112" s="2" t="str">
        <f>"171"</f>
        <v>171</v>
      </c>
      <c r="Q112" s="2" t="str">
        <f>"巢湖市人力资源和社会保障局"</f>
        <v>巢湖市人力资源和社会保障局</v>
      </c>
      <c r="R112" s="2" t="str">
        <f>"200701"</f>
        <v>200701</v>
      </c>
      <c r="S112" s="2" t="str">
        <f>"皖合肥市巢湖市人力资源和社会保障局"</f>
        <v>皖合肥市巢湖市人力资源和社会保障局</v>
      </c>
      <c r="T112" s="2" t="str">
        <f>"238000"</f>
        <v>238000</v>
      </c>
      <c r="U112" s="2" t="str">
        <f>"无"</f>
        <v>无</v>
      </c>
      <c r="V112" s="2" t="str">
        <f>"18955929636"</f>
        <v>18955929636</v>
      </c>
      <c r="W112" s="2" t="str">
        <f>"二级甲等"</f>
        <v>二级甲等</v>
      </c>
      <c r="X112" s="2" t="str">
        <f t="shared" si="62"/>
        <v>否</v>
      </c>
      <c r="Y112" s="2" t="str">
        <f>"一般"</f>
        <v>一般</v>
      </c>
      <c r="Z112" s="2" t="str">
        <f>"一般"</f>
        <v>一般</v>
      </c>
      <c r="AA112" s="2" t="str">
        <f>"父亲|孙文卿|黄山市徽州房产百兴园经营部|||||||||"</f>
        <v>父亲|孙文卿|黄山市徽州房产百兴园经营部|||||||||</v>
      </c>
      <c r="AB112" s="2" t="str">
        <f>"1998.09-2001.07 黄山市徽州一中 学生_x000D_
2001.09-2004.07 安徽师范大学教育科学学院 初等教育专业 学生_x000D_
2004.09-2006.07 安徽师范大学教育科学学院 教育学专业 学生（学士学位）_x000D_
2015.09-2018.01 国家开放大学 法学专业 学生"</f>
        <v>1998.09-2001.07 黄山市徽州一中 学生_x000D_
2001.09-2004.07 安徽师范大学教育科学学院 初等教育专业 学生_x000D_
2004.09-2006.07 安徽师范大学教育科学学院 教育学专业 学生（学士学位）_x000D_
2015.09-2018.01 国家开放大学 法学专业 学生</v>
      </c>
      <c r="AC112" s="2" t="str">
        <f>"无"</f>
        <v>无</v>
      </c>
      <c r="AD112" s="2" t="str">
        <f>""</f>
        <v/>
      </c>
      <c r="AE112" s="4">
        <v>43432.640208333331</v>
      </c>
      <c r="AF112" s="2">
        <v>1</v>
      </c>
      <c r="AG112" s="2">
        <v>1</v>
      </c>
      <c r="AH112" s="2">
        <v>2</v>
      </c>
      <c r="AI112" s="2" t="str">
        <f>"18002027115"</f>
        <v>18002027115</v>
      </c>
      <c r="AJ112" s="2">
        <v>71</v>
      </c>
      <c r="AK112" s="2">
        <v>15</v>
      </c>
      <c r="AL112" s="2" t="s">
        <v>42</v>
      </c>
      <c r="AM112" s="2" t="s">
        <v>43</v>
      </c>
      <c r="AN112" s="2">
        <v>2</v>
      </c>
      <c r="AO112" s="2">
        <v>8780</v>
      </c>
      <c r="AP112" s="2" t="s">
        <v>252</v>
      </c>
      <c r="AQ112" s="2"/>
      <c r="AR112" s="2" t="s">
        <v>330</v>
      </c>
      <c r="AS112" s="3" t="s">
        <v>331</v>
      </c>
      <c r="AT112" s="2" t="s">
        <v>117</v>
      </c>
      <c r="AU112" s="2" t="s">
        <v>117</v>
      </c>
      <c r="AV112" s="7">
        <v>70.900000000000006</v>
      </c>
      <c r="AW112" s="2">
        <v>2</v>
      </c>
      <c r="AX112" s="2"/>
      <c r="AY112" s="2"/>
    </row>
    <row r="113" spans="1:51" ht="18.75" customHeight="1">
      <c r="A113" t="str">
        <f>"1002201811261224021501"</f>
        <v>1002201811261224021501</v>
      </c>
      <c r="B113" s="9">
        <v>111</v>
      </c>
      <c r="C113" s="2" t="s">
        <v>316</v>
      </c>
      <c r="D113" s="2" t="str">
        <f>"王晓雪"</f>
        <v>王晓雪</v>
      </c>
      <c r="E113" s="2" t="str">
        <f>"女"</f>
        <v>女</v>
      </c>
      <c r="F113" s="2" t="str">
        <f>"1994-12-25"</f>
        <v>1994-12-25</v>
      </c>
      <c r="G113" s="2" t="str">
        <f>"320621199412254323"</f>
        <v>320621199412254323</v>
      </c>
      <c r="H113" s="2" t="str">
        <f>"海安"</f>
        <v>海安</v>
      </c>
      <c r="I113" s="2" t="str">
        <f t="shared" si="63"/>
        <v>非应届生</v>
      </c>
      <c r="J113" s="2" t="str">
        <f t="shared" si="65"/>
        <v>无</v>
      </c>
      <c r="K113" s="2" t="str">
        <f>"2017.07"</f>
        <v>2017.07</v>
      </c>
      <c r="L113" s="2" t="str">
        <f>"学士"</f>
        <v>学士</v>
      </c>
      <c r="M113" s="2" t="str">
        <f>"南京师范大学泰州学院"</f>
        <v>南京师范大学泰州学院</v>
      </c>
      <c r="N113" s="2" t="str">
        <f t="shared" si="66"/>
        <v>法学</v>
      </c>
      <c r="O113" s="2" t="str">
        <f t="shared" si="50"/>
        <v>本科</v>
      </c>
      <c r="P113" s="2" t="str">
        <f>"168"</f>
        <v>168</v>
      </c>
      <c r="Q113" s="2" t="str">
        <f>"海安人社局"</f>
        <v>海安人社局</v>
      </c>
      <c r="R113" s="2" t="str">
        <f>"2017.08"</f>
        <v>2017.08</v>
      </c>
      <c r="S113" s="2" t="str">
        <f>"海安中央广场2栋1单元2802"</f>
        <v>海安中央广场2栋1单元2802</v>
      </c>
      <c r="T113" s="2" t="str">
        <f>"226600"</f>
        <v>226600</v>
      </c>
      <c r="U113" s="2" t="str">
        <f>"88803595"</f>
        <v>88803595</v>
      </c>
      <c r="V113" s="2" t="str">
        <f>"15370981110"</f>
        <v>15370981110</v>
      </c>
      <c r="W113" s="2" t="str">
        <f>"无"</f>
        <v>无</v>
      </c>
      <c r="X113" s="2" t="str">
        <f t="shared" si="62"/>
        <v>否</v>
      </c>
      <c r="Y113" s="2" t="str">
        <f>"英语六级"</f>
        <v>英语六级</v>
      </c>
      <c r="Z113" s="2" t="str">
        <f>"计算机一级"</f>
        <v>计算机一级</v>
      </c>
      <c r="AA113" s="2" t="str">
        <f>"丈夫|陈云|海安瑞海集团|||||||||"</f>
        <v>丈夫|陈云|海安瑞海集团|||||||||</v>
      </c>
      <c r="AB113" s="2" t="str">
        <f>"2011.09-2013.07 海安实验中学_x000D_
2013.09-2017.07 南京师范大学泰州学院_x000D_
2017.08-2018.12 海安人社局"</f>
        <v>2011.09-2013.07 海安实验中学_x000D_
2013.09-2017.07 南京师范大学泰州学院_x000D_
2017.08-2018.12 海安人社局</v>
      </c>
      <c r="AC113" s="2" t="str">
        <f>"法学专业"</f>
        <v>法学专业</v>
      </c>
      <c r="AD113" s="2" t="str">
        <f>""</f>
        <v/>
      </c>
      <c r="AE113" s="4">
        <v>43433.401701388888</v>
      </c>
      <c r="AF113" s="2">
        <v>1</v>
      </c>
      <c r="AG113" s="2">
        <v>1</v>
      </c>
      <c r="AH113" s="2">
        <v>1</v>
      </c>
      <c r="AI113" s="2" t="str">
        <f>"18002027101"</f>
        <v>18002027101</v>
      </c>
      <c r="AJ113" s="2">
        <v>71</v>
      </c>
      <c r="AK113" s="2">
        <v>1</v>
      </c>
      <c r="AL113" s="2" t="s">
        <v>42</v>
      </c>
      <c r="AM113" s="2" t="s">
        <v>43</v>
      </c>
      <c r="AN113" s="2">
        <v>2</v>
      </c>
      <c r="AO113" s="2">
        <v>7024</v>
      </c>
      <c r="AP113" s="2" t="s">
        <v>317</v>
      </c>
      <c r="AQ113" s="2"/>
      <c r="AR113" s="2" t="s">
        <v>330</v>
      </c>
      <c r="AS113" s="3" t="s">
        <v>331</v>
      </c>
      <c r="AT113" s="2" t="s">
        <v>117</v>
      </c>
      <c r="AU113" s="2" t="s">
        <v>117</v>
      </c>
      <c r="AV113" s="7">
        <v>70.349999999999994</v>
      </c>
      <c r="AW113" s="2">
        <v>3</v>
      </c>
      <c r="AX113" s="2"/>
      <c r="AY113" s="2"/>
    </row>
    <row r="114" spans="1:51" ht="18.75" customHeight="1">
      <c r="A114" t="str">
        <f>"100220181126092723445"</f>
        <v>100220181126092723445</v>
      </c>
      <c r="B114" s="9">
        <v>112</v>
      </c>
      <c r="C114" s="2" t="s">
        <v>319</v>
      </c>
      <c r="D114" s="2" t="str">
        <f>"马暄舒"</f>
        <v>马暄舒</v>
      </c>
      <c r="E114" s="2" t="str">
        <f>"男"</f>
        <v>男</v>
      </c>
      <c r="F114" s="2" t="str">
        <f>"1996-06-18"</f>
        <v>1996-06-18</v>
      </c>
      <c r="G114" s="2" t="str">
        <f>"370921199606183311"</f>
        <v>370921199606183311</v>
      </c>
      <c r="H114" s="2" t="str">
        <f>"山东"</f>
        <v>山东</v>
      </c>
      <c r="I114" s="2" t="str">
        <f>"应届生"</f>
        <v>应届生</v>
      </c>
      <c r="J114" s="2" t="str">
        <f t="shared" si="65"/>
        <v>无</v>
      </c>
      <c r="K114" s="2" t="str">
        <f>"2018.06"</f>
        <v>2018.06</v>
      </c>
      <c r="L114" s="2" t="str">
        <f t="shared" ref="L114:L137" si="67">"学士"</f>
        <v>学士</v>
      </c>
      <c r="M114" s="2" t="str">
        <f>"齐鲁工业大学"</f>
        <v>齐鲁工业大学</v>
      </c>
      <c r="N114" s="2" t="str">
        <f>"产品设计"</f>
        <v>产品设计</v>
      </c>
      <c r="O114" s="2" t="str">
        <f t="shared" si="50"/>
        <v>本科</v>
      </c>
      <c r="P114" s="2" t="str">
        <f>"170"</f>
        <v>170</v>
      </c>
      <c r="Q114" s="2" t="str">
        <f>"无"</f>
        <v>无</v>
      </c>
      <c r="R114" s="2" t="str">
        <f>"无"</f>
        <v>无</v>
      </c>
      <c r="S114" s="2" t="str">
        <f>"山东省泰安市宁阳县府东小区8号楼"</f>
        <v>山东省泰安市宁阳县府东小区8号楼</v>
      </c>
      <c r="T114" s="2" t="str">
        <f>"271400"</f>
        <v>271400</v>
      </c>
      <c r="U114" s="2" t="str">
        <f>"13793819087"</f>
        <v>13793819087</v>
      </c>
      <c r="V114" s="2" t="str">
        <f>"15165016975"</f>
        <v>15165016975</v>
      </c>
      <c r="W114" s="2" t="str">
        <f>"二级甲等"</f>
        <v>二级甲等</v>
      </c>
      <c r="X114" s="2" t="str">
        <f t="shared" si="62"/>
        <v>否</v>
      </c>
      <c r="Y114" s="2" t="str">
        <f>"英语"</f>
        <v>英语</v>
      </c>
      <c r="Z114" s="2" t="str">
        <f>"良好"</f>
        <v>良好</v>
      </c>
      <c r="AA114" s="2" t="str">
        <f>"父亲|马良|山东省泰安新世纪文创有限公司|母亲|张秀红|山东省宁阳县刘楼小学||||||"</f>
        <v>父亲|马良|山东省泰安新世纪文创有限公司|母亲|张秀红|山东省宁阳县刘楼小学||||||</v>
      </c>
      <c r="AB114" s="2" t="str">
        <f>"2011.09—2014.06 山东省泰安市宁阳县第四中学_x000D_
2014.09—2018.06 齐鲁工业大学 艺术学院 产品设计专业 学生"</f>
        <v>2011.09—2014.06 山东省泰安市宁阳县第四中学_x000D_
2014.09—2018.06 齐鲁工业大学 艺术学院 产品设计专业 学生</v>
      </c>
      <c r="AC114" s="2" t="str">
        <f>"2018年获得山东省委宣传部指导，各厅级单位联合举办“泰山杯文创设计大赛”铜奖等奖"</f>
        <v>2018年获得山东省委宣传部指导，各厅级单位联合举办“泰山杯文创设计大赛”铜奖等奖</v>
      </c>
      <c r="AD114" s="2" t="str">
        <f>""</f>
        <v/>
      </c>
      <c r="AE114" s="4">
        <v>43430.461053240739</v>
      </c>
      <c r="AF114" s="2">
        <v>1</v>
      </c>
      <c r="AG114" s="2">
        <v>1</v>
      </c>
      <c r="AH114" s="2">
        <v>1</v>
      </c>
      <c r="AI114" s="2" t="str">
        <f>"18002027214"</f>
        <v>18002027214</v>
      </c>
      <c r="AJ114" s="2">
        <v>72</v>
      </c>
      <c r="AK114" s="2">
        <v>14</v>
      </c>
      <c r="AL114" s="2" t="s">
        <v>42</v>
      </c>
      <c r="AM114" s="2" t="s">
        <v>43</v>
      </c>
      <c r="AN114" s="2">
        <v>2</v>
      </c>
      <c r="AO114" s="2">
        <v>3112</v>
      </c>
      <c r="AP114" s="2" t="s">
        <v>320</v>
      </c>
      <c r="AQ114" s="2"/>
      <c r="AR114" s="2" t="s">
        <v>330</v>
      </c>
      <c r="AS114" s="3" t="s">
        <v>331</v>
      </c>
      <c r="AT114" s="2" t="s">
        <v>117</v>
      </c>
      <c r="AU114" s="2" t="s">
        <v>117</v>
      </c>
      <c r="AV114" s="7">
        <v>72.650000000000006</v>
      </c>
      <c r="AW114" s="2">
        <v>1</v>
      </c>
      <c r="AX114" s="2"/>
      <c r="AY114" s="2"/>
    </row>
    <row r="115" spans="1:51" ht="18.75" customHeight="1">
      <c r="A115" t="str">
        <f>"1002201811261831032511"</f>
        <v>1002201811261831032511</v>
      </c>
      <c r="B115" s="9">
        <v>113</v>
      </c>
      <c r="C115" s="2" t="s">
        <v>319</v>
      </c>
      <c r="D115" s="2" t="str">
        <f>"叶晨昊"</f>
        <v>叶晨昊</v>
      </c>
      <c r="E115" s="2" t="str">
        <f>"男"</f>
        <v>男</v>
      </c>
      <c r="F115" s="2" t="str">
        <f>"1995-09-17"</f>
        <v>1995-09-17</v>
      </c>
      <c r="G115" s="2" t="str">
        <f>"320621199509176712"</f>
        <v>320621199509176712</v>
      </c>
      <c r="H115" s="2" t="str">
        <f>"江苏南通"</f>
        <v>江苏南通</v>
      </c>
      <c r="I115" s="2" t="str">
        <f>"非应届生"</f>
        <v>非应届生</v>
      </c>
      <c r="J115" s="2" t="str">
        <f t="shared" si="65"/>
        <v>无</v>
      </c>
      <c r="K115" s="2" t="str">
        <f>"2018.07"</f>
        <v>2018.07</v>
      </c>
      <c r="L115" s="2" t="str">
        <f t="shared" si="67"/>
        <v>学士</v>
      </c>
      <c r="M115" s="2" t="str">
        <f>"廊坊师范学院"</f>
        <v>廊坊师范学院</v>
      </c>
      <c r="N115" s="2" t="str">
        <f>"戏剧影视文学"</f>
        <v>戏剧影视文学</v>
      </c>
      <c r="O115" s="2" t="str">
        <f t="shared" si="50"/>
        <v>本科</v>
      </c>
      <c r="P115" s="2" t="str">
        <f>"165"</f>
        <v>165</v>
      </c>
      <c r="Q115" s="2" t="str">
        <f>"雅周社保服务中心"</f>
        <v>雅周社保服务中心</v>
      </c>
      <c r="R115" s="2" t="str">
        <f>"2018.07"</f>
        <v>2018.07</v>
      </c>
      <c r="S115" s="2" t="str">
        <f>"13363641530，15366360682"</f>
        <v>13363641530，15366360682</v>
      </c>
      <c r="T115" s="2" t="str">
        <f>"226600"</f>
        <v>226600</v>
      </c>
      <c r="U115" s="2" t="str">
        <f>"051388611682"</f>
        <v>051388611682</v>
      </c>
      <c r="V115" s="2" t="str">
        <f>"15366360682"</f>
        <v>15366360682</v>
      </c>
      <c r="W115" s="2" t="str">
        <f>"二级乙等"</f>
        <v>二级乙等</v>
      </c>
      <c r="X115" s="2" t="str">
        <f>"是"</f>
        <v>是</v>
      </c>
      <c r="Y115" s="2" t="str">
        <f>"无"</f>
        <v>无</v>
      </c>
      <c r="Z115" s="2" t="str">
        <f>"计算机一级"</f>
        <v>计算机一级</v>
      </c>
      <c r="AA115" s="2" t="str">
        <f>"母亲|陈小丽|个体|父亲|叶余兴|苏中公司||||||"</f>
        <v>母亲|陈小丽|个体|父亲|叶余兴|苏中公司||||||</v>
      </c>
      <c r="AB115" s="2" t="str">
        <f>"2011.09-2014.07海安南莫中学_x000D_
2014.09-2018.07廊坊师范学院戏剧影视文学专业 学生_x000D_
2018.07至今 雅周社保服务中心 协理员"</f>
        <v>2011.09-2014.07海安南莫中学_x000D_
2014.09-2018.07廊坊师范学院戏剧影视文学专业 学生_x000D_
2018.07至今 雅周社保服务中心 协理员</v>
      </c>
      <c r="AC115" s="2" t="str">
        <f>"戏剧影视文学专业属于艺术类专业"</f>
        <v>戏剧影视文学专业属于艺术类专业</v>
      </c>
      <c r="AD115" s="2" t="str">
        <f>""</f>
        <v/>
      </c>
      <c r="AE115" s="4">
        <v>43431.58861111111</v>
      </c>
      <c r="AF115" s="2">
        <v>1</v>
      </c>
      <c r="AG115" s="2">
        <v>1</v>
      </c>
      <c r="AH115" s="2">
        <v>1</v>
      </c>
      <c r="AI115" s="2" t="str">
        <f>"18002027314"</f>
        <v>18002027314</v>
      </c>
      <c r="AJ115" s="2">
        <v>73</v>
      </c>
      <c r="AK115" s="2">
        <v>14</v>
      </c>
      <c r="AL115" s="2" t="s">
        <v>42</v>
      </c>
      <c r="AM115" s="2" t="s">
        <v>43</v>
      </c>
      <c r="AN115" s="2">
        <v>2</v>
      </c>
      <c r="AO115" s="2">
        <v>7072</v>
      </c>
      <c r="AP115" s="2" t="s">
        <v>322</v>
      </c>
      <c r="AQ115" s="2"/>
      <c r="AR115" s="2" t="s">
        <v>330</v>
      </c>
      <c r="AS115" s="3" t="s">
        <v>331</v>
      </c>
      <c r="AT115" s="2" t="s">
        <v>117</v>
      </c>
      <c r="AU115" s="2" t="s">
        <v>117</v>
      </c>
      <c r="AV115" s="7">
        <v>68.900000000000006</v>
      </c>
      <c r="AW115" s="2">
        <v>2</v>
      </c>
      <c r="AX115" s="2"/>
      <c r="AY115" s="2"/>
    </row>
    <row r="116" spans="1:51" ht="18.75" customHeight="1">
      <c r="A116" t="str">
        <f>"1002201811271732274010"</f>
        <v>1002201811271732274010</v>
      </c>
      <c r="B116" s="9">
        <v>114</v>
      </c>
      <c r="C116" s="2" t="s">
        <v>319</v>
      </c>
      <c r="D116" s="2" t="str">
        <f>"许若晨"</f>
        <v>许若晨</v>
      </c>
      <c r="E116" s="2" t="str">
        <f>"男"</f>
        <v>男</v>
      </c>
      <c r="F116" s="2" t="str">
        <f>"1994-08-10"</f>
        <v>1994-08-10</v>
      </c>
      <c r="G116" s="2" t="str">
        <f>"372922199408100376"</f>
        <v>372922199408100376</v>
      </c>
      <c r="H116" s="2" t="str">
        <f>"山东"</f>
        <v>山东</v>
      </c>
      <c r="I116" s="2" t="str">
        <f>"非应届生"</f>
        <v>非应届生</v>
      </c>
      <c r="J116" s="2" t="str">
        <f t="shared" si="65"/>
        <v>无</v>
      </c>
      <c r="K116" s="2" t="str">
        <f>"2018.07"</f>
        <v>2018.07</v>
      </c>
      <c r="L116" s="2" t="str">
        <f t="shared" si="67"/>
        <v>学士</v>
      </c>
      <c r="M116" s="2" t="str">
        <f>"齐鲁工业大学"</f>
        <v>齐鲁工业大学</v>
      </c>
      <c r="N116" s="2" t="str">
        <f>"产品设计"</f>
        <v>产品设计</v>
      </c>
      <c r="O116" s="2" t="str">
        <f t="shared" si="50"/>
        <v>本科</v>
      </c>
      <c r="P116" s="2" t="str">
        <f>"174"</f>
        <v>174</v>
      </c>
      <c r="Q116" s="2" t="str">
        <f>"无"</f>
        <v>无</v>
      </c>
      <c r="R116" s="2" t="str">
        <f>"无"</f>
        <v>无</v>
      </c>
      <c r="S116" s="2" t="str">
        <f>"山东省菏泽市曹县政府前街文海打字社"</f>
        <v>山东省菏泽市曹县政府前街文海打字社</v>
      </c>
      <c r="T116" s="2" t="str">
        <f>"274400"</f>
        <v>274400</v>
      </c>
      <c r="U116" s="2" t="str">
        <f>"17865180918"</f>
        <v>17865180918</v>
      </c>
      <c r="V116" s="2" t="str">
        <f>"17865180918"</f>
        <v>17865180918</v>
      </c>
      <c r="W116" s="2" t="str">
        <f>"无"</f>
        <v>无</v>
      </c>
      <c r="X116" s="2" t="str">
        <f t="shared" ref="X116:X125" si="68">"否"</f>
        <v>否</v>
      </c>
      <c r="Y116" s="2" t="str">
        <f>"普通"</f>
        <v>普通</v>
      </c>
      <c r="Z116" s="2" t="str">
        <f>"良好"</f>
        <v>良好</v>
      </c>
      <c r="AA116" s="2" t="str">
        <f>"父亲|许贵福|个人|母亲|张桂梅|无||||||"</f>
        <v>父亲|许贵福|个人|母亲|张桂梅|无||||||</v>
      </c>
      <c r="AB116" s="2" t="str">
        <f>"2007.09—2014.06曹县第一中学 学生_x000D_
2014.09—2018.06齐鲁工业大学 学生"</f>
        <v>2007.09—2014.06曹县第一中学 学生_x000D_
2014.09—2018.06齐鲁工业大学 学生</v>
      </c>
      <c r="AC116" s="2" t="str">
        <f>"无"</f>
        <v>无</v>
      </c>
      <c r="AD116" s="2" t="str">
        <f>""</f>
        <v/>
      </c>
      <c r="AE116" s="4">
        <v>43432.411851851852</v>
      </c>
      <c r="AF116" s="2">
        <v>1</v>
      </c>
      <c r="AG116" s="2">
        <v>1</v>
      </c>
      <c r="AH116" s="2">
        <v>2</v>
      </c>
      <c r="AI116" s="2" t="str">
        <f>"18002027230"</f>
        <v>18002027230</v>
      </c>
      <c r="AJ116" s="2">
        <v>72</v>
      </c>
      <c r="AK116" s="2">
        <v>30</v>
      </c>
      <c r="AL116" s="2" t="s">
        <v>42</v>
      </c>
      <c r="AM116" s="2" t="s">
        <v>43</v>
      </c>
      <c r="AN116" s="2">
        <v>2</v>
      </c>
      <c r="AO116" s="2">
        <v>5331</v>
      </c>
      <c r="AP116" s="2" t="s">
        <v>321</v>
      </c>
      <c r="AQ116" s="2"/>
      <c r="AR116" s="2" t="s">
        <v>330</v>
      </c>
      <c r="AS116" s="3" t="s">
        <v>331</v>
      </c>
      <c r="AT116" s="2" t="s">
        <v>117</v>
      </c>
      <c r="AU116" s="2" t="s">
        <v>117</v>
      </c>
      <c r="AV116" s="7">
        <v>66.349999999999994</v>
      </c>
      <c r="AW116" s="2">
        <v>3</v>
      </c>
      <c r="AX116" s="2"/>
      <c r="AY116" s="2"/>
    </row>
    <row r="117" spans="1:51" ht="18.75" customHeight="1">
      <c r="A117" t="str">
        <f>"1002201811291035395665"</f>
        <v>1002201811291035395665</v>
      </c>
      <c r="B117" s="9">
        <v>115</v>
      </c>
      <c r="C117" s="2" t="s">
        <v>323</v>
      </c>
      <c r="D117" s="2" t="str">
        <f>"王洁玉"</f>
        <v>王洁玉</v>
      </c>
      <c r="E117" s="2" t="str">
        <f>"女"</f>
        <v>女</v>
      </c>
      <c r="F117" s="2" t="str">
        <f>"1988-09-11"</f>
        <v>1988-09-11</v>
      </c>
      <c r="G117" s="2" t="str">
        <f>"320682198809111142"</f>
        <v>320682198809111142</v>
      </c>
      <c r="H117" s="2" t="str">
        <f>"江苏省如皋市东陈镇东建路17号"</f>
        <v>江苏省如皋市东陈镇东建路17号</v>
      </c>
      <c r="I117" s="2" t="str">
        <f t="shared" ref="I117:I140" si="69">"非应届生"</f>
        <v>非应届生</v>
      </c>
      <c r="J117" s="2" t="str">
        <f>"无"</f>
        <v>无</v>
      </c>
      <c r="K117" s="2" t="str">
        <f>"2010.06"</f>
        <v>2010.06</v>
      </c>
      <c r="L117" s="2" t="str">
        <f t="shared" si="67"/>
        <v>学士</v>
      </c>
      <c r="M117" s="2" t="str">
        <f>"江苏科技大学"</f>
        <v>江苏科技大学</v>
      </c>
      <c r="N117" s="2" t="str">
        <f>"计算机科学与技术"</f>
        <v>计算机科学与技术</v>
      </c>
      <c r="O117" s="2" t="str">
        <f t="shared" si="50"/>
        <v>本科</v>
      </c>
      <c r="P117" s="2" t="str">
        <f>"161"</f>
        <v>161</v>
      </c>
      <c r="Q117" s="2" t="str">
        <f>"如皋市人民检察院（合同制）"</f>
        <v>如皋市人民检察院（合同制）</v>
      </c>
      <c r="R117" s="2" t="str">
        <f>"2010.07"</f>
        <v>2010.07</v>
      </c>
      <c r="S117" s="2" t="str">
        <f>"如皋市如城镇颐园新村222-801室"</f>
        <v>如皋市如城镇颐园新村222-801室</v>
      </c>
      <c r="T117" s="2" t="str">
        <f>"226500"</f>
        <v>226500</v>
      </c>
      <c r="U117" s="2" t="str">
        <f>"无"</f>
        <v>无</v>
      </c>
      <c r="V117" s="2" t="str">
        <f>"15062776769"</f>
        <v>15062776769</v>
      </c>
      <c r="W117" s="2" t="str">
        <f>"无"</f>
        <v>无</v>
      </c>
      <c r="X117" s="2" t="str">
        <f t="shared" si="68"/>
        <v>否</v>
      </c>
      <c r="Y117" s="2" t="str">
        <f>"CET-4"</f>
        <v>CET-4</v>
      </c>
      <c r="Z117" s="2" t="str">
        <f>"计算机三级偏软"</f>
        <v>计算机三级偏软</v>
      </c>
      <c r="AA117" s="2" t="str">
        <f>"丈夫|仲杰|涤诺印尼有限公司|女儿|仲禹璇|幼儿园学生|女儿|王礼玥|学龄前儿童|||"</f>
        <v>丈夫|仲杰|涤诺印尼有限公司|女儿|仲禹璇|幼儿园学生|女儿|王礼玥|学龄前儿童|||</v>
      </c>
      <c r="AB117" s="2" t="str">
        <f>"2003.09-2006.07 如皋市第一中学 学生_x000D_
2006.09-2010.06 江苏科技大学 计算机科学与技术专业 学生_x000D_
2010.07-2011.05 苏州可胜科技有限公司 职员_x000D_
2012.02-2014.05 江苏联众肠衣有限公司 职员_x000D_
2014.05至今 如皋市人民检察院 文员"</f>
        <v>2003.09-2006.07 如皋市第一中学 学生_x000D_
2006.09-2010.06 江苏科技大学 计算机科学与技术专业 学生_x000D_
2010.07-2011.05 苏州可胜科技有限公司 职员_x000D_
2012.02-2014.05 江苏联众肠衣有限公司 职员_x000D_
2014.05至今 如皋市人民检察院 文员</v>
      </c>
      <c r="AC117" s="2" t="str">
        <f t="shared" ref="AC117:AC119" si="70">"无"</f>
        <v>无</v>
      </c>
      <c r="AD117" s="2" t="str">
        <f>"无"</f>
        <v>无</v>
      </c>
      <c r="AE117" s="4">
        <v>43434.418402777781</v>
      </c>
      <c r="AF117" s="2">
        <v>1</v>
      </c>
      <c r="AG117" s="2">
        <v>1</v>
      </c>
      <c r="AH117" s="2">
        <v>3</v>
      </c>
      <c r="AI117" s="2" t="str">
        <f>"18002027519"</f>
        <v>18002027519</v>
      </c>
      <c r="AJ117" s="2">
        <v>75</v>
      </c>
      <c r="AK117" s="2">
        <v>19</v>
      </c>
      <c r="AL117" s="2" t="s">
        <v>42</v>
      </c>
      <c r="AM117" s="2" t="s">
        <v>43</v>
      </c>
      <c r="AN117" s="2">
        <v>2</v>
      </c>
      <c r="AO117" s="2">
        <v>4792</v>
      </c>
      <c r="AP117" s="2" t="s">
        <v>288</v>
      </c>
      <c r="AQ117" s="2"/>
      <c r="AR117" s="2" t="s">
        <v>330</v>
      </c>
      <c r="AS117" s="3" t="s">
        <v>331</v>
      </c>
      <c r="AT117" s="2" t="s">
        <v>117</v>
      </c>
      <c r="AU117" s="2" t="s">
        <v>117</v>
      </c>
      <c r="AV117" s="7">
        <v>69.45</v>
      </c>
      <c r="AW117" s="2">
        <v>1</v>
      </c>
      <c r="AX117" s="2"/>
      <c r="AY117" s="2"/>
    </row>
    <row r="118" spans="1:51" ht="18.75" customHeight="1">
      <c r="A118" t="str">
        <f>"1002201811291328375848"</f>
        <v>1002201811291328375848</v>
      </c>
      <c r="B118" s="9">
        <v>116</v>
      </c>
      <c r="C118" s="2" t="s">
        <v>323</v>
      </c>
      <c r="D118" s="2" t="str">
        <f>"冒溢馨"</f>
        <v>冒溢馨</v>
      </c>
      <c r="E118" s="2" t="str">
        <f>"女"</f>
        <v>女</v>
      </c>
      <c r="F118" s="2" t="str">
        <f>"1990-12-29"</f>
        <v>1990-12-29</v>
      </c>
      <c r="G118" s="2" t="str">
        <f>"320682199012291566"</f>
        <v>320682199012291566</v>
      </c>
      <c r="H118" s="2" t="str">
        <f>"江苏如皋"</f>
        <v>江苏如皋</v>
      </c>
      <c r="I118" s="2" t="str">
        <f t="shared" si="69"/>
        <v>非应届生</v>
      </c>
      <c r="J118" s="2" t="str">
        <f>"无"</f>
        <v>无</v>
      </c>
      <c r="K118" s="2" t="str">
        <f>"2012-06"</f>
        <v>2012-06</v>
      </c>
      <c r="L118" s="2" t="str">
        <f t="shared" si="67"/>
        <v>学士</v>
      </c>
      <c r="M118" s="2" t="str">
        <f>"江南大学"</f>
        <v>江南大学</v>
      </c>
      <c r="N118" s="2" t="str">
        <f>"数字媒体技术"</f>
        <v>数字媒体技术</v>
      </c>
      <c r="O118" s="2" t="str">
        <f t="shared" si="50"/>
        <v>本科</v>
      </c>
      <c r="P118" s="2" t="str">
        <f>"161"</f>
        <v>161</v>
      </c>
      <c r="Q118" s="2" t="str">
        <f>"江苏省如皋市公安局"</f>
        <v>江苏省如皋市公安局</v>
      </c>
      <c r="R118" s="2" t="str">
        <f>"2012-07"</f>
        <v>2012-07</v>
      </c>
      <c r="S118" s="2" t="str">
        <f>"江苏省如皋市东陈镇东郊花园"</f>
        <v>江苏省如皋市东陈镇东郊花园</v>
      </c>
      <c r="T118" s="2" t="str">
        <f>"226500"</f>
        <v>226500</v>
      </c>
      <c r="U118" s="2" t="str">
        <f>"无"</f>
        <v>无</v>
      </c>
      <c r="V118" s="2" t="str">
        <f>"15190886598"</f>
        <v>15190886598</v>
      </c>
      <c r="W118" s="2" t="str">
        <f>"无"</f>
        <v>无</v>
      </c>
      <c r="X118" s="2" t="str">
        <f t="shared" si="68"/>
        <v>否</v>
      </c>
      <c r="Y118" s="2" t="str">
        <f>"全国英语四级"</f>
        <v>全国英语四级</v>
      </c>
      <c r="Z118" s="2" t="str">
        <f>"全国计算机二级"</f>
        <v>全国计算机二级</v>
      </c>
      <c r="AA118" s="2" t="str">
        <f>"丈夫|沈徐成|苏州诺永净化设备有限公司|||||||||"</f>
        <v>丈夫|沈徐成|苏州诺永净化设备有限公司|||||||||</v>
      </c>
      <c r="AB118" s="2" t="str">
        <f>"2005.09-2008.06 江苏省如皋市第一中学 学生_x000D_
2008.09-2012.06 江南大学数字媒体技术学院数字媒体技术专业 学生_x000D_
2012.07-2012.09 北京搜房网上海分公司 网络编辑_x000D_
2012.09-2014.06 上海丽人丽妆化妆品有限公司 文案策划_x000D_
2014.06-至今 江苏省如皋市公安局110指挥中心 辅警"</f>
        <v>2005.09-2008.06 江苏省如皋市第一中学 学生_x000D_
2008.09-2012.06 江南大学数字媒体技术学院数字媒体技术专业 学生_x000D_
2012.07-2012.09 北京搜房网上海分公司 网络编辑_x000D_
2012.09-2014.06 上海丽人丽妆化妆品有限公司 文案策划_x000D_
2014.06-至今 江苏省如皋市公安局110指挥中心 辅警</v>
      </c>
      <c r="AC118" s="2" t="str">
        <f t="shared" si="70"/>
        <v>无</v>
      </c>
      <c r="AD118" s="2" t="str">
        <f>"现所在工作性质属于合同制。"</f>
        <v>现所在工作性质属于合同制。</v>
      </c>
      <c r="AE118" s="4">
        <v>43433.592442129629</v>
      </c>
      <c r="AF118" s="2">
        <v>1</v>
      </c>
      <c r="AG118" s="2">
        <v>1</v>
      </c>
      <c r="AH118" s="2">
        <v>2</v>
      </c>
      <c r="AI118" s="2" t="str">
        <f>"18002027416"</f>
        <v>18002027416</v>
      </c>
      <c r="AJ118" s="2">
        <v>74</v>
      </c>
      <c r="AK118" s="2">
        <v>16</v>
      </c>
      <c r="AL118" s="2" t="s">
        <v>42</v>
      </c>
      <c r="AM118" s="2" t="s">
        <v>43</v>
      </c>
      <c r="AN118" s="2">
        <v>2</v>
      </c>
      <c r="AO118" s="2">
        <v>1829</v>
      </c>
      <c r="AP118" s="2" t="s">
        <v>324</v>
      </c>
      <c r="AQ118" s="2"/>
      <c r="AR118" s="2" t="s">
        <v>330</v>
      </c>
      <c r="AS118" s="3" t="s">
        <v>331</v>
      </c>
      <c r="AT118" s="2" t="s">
        <v>117</v>
      </c>
      <c r="AU118" s="2" t="s">
        <v>117</v>
      </c>
      <c r="AV118" s="7">
        <v>69.2</v>
      </c>
      <c r="AW118" s="2">
        <v>2</v>
      </c>
      <c r="AX118" s="2"/>
      <c r="AY118" s="2"/>
    </row>
    <row r="119" spans="1:51" ht="18.75" customHeight="1">
      <c r="A119" t="str">
        <f>"1002201811271936564153"</f>
        <v>1002201811271936564153</v>
      </c>
      <c r="B119" s="9">
        <v>117</v>
      </c>
      <c r="C119" s="2" t="s">
        <v>323</v>
      </c>
      <c r="D119" s="2" t="str">
        <f>"严瑾"</f>
        <v>严瑾</v>
      </c>
      <c r="E119" s="2" t="str">
        <f>"女"</f>
        <v>女</v>
      </c>
      <c r="F119" s="2" t="str">
        <f>"1992-04-07"</f>
        <v>1992-04-07</v>
      </c>
      <c r="G119" s="2" t="str">
        <f>"320682199204070020"</f>
        <v>320682199204070020</v>
      </c>
      <c r="H119" s="2" t="str">
        <f>"江苏省如皋市"</f>
        <v>江苏省如皋市</v>
      </c>
      <c r="I119" s="2" t="str">
        <f t="shared" si="69"/>
        <v>非应届生</v>
      </c>
      <c r="J119" s="2" t="str">
        <f>"无"</f>
        <v>无</v>
      </c>
      <c r="K119" s="2" t="str">
        <f>"2015年7月"</f>
        <v>2015年7月</v>
      </c>
      <c r="L119" s="2" t="str">
        <f t="shared" si="67"/>
        <v>学士</v>
      </c>
      <c r="M119" s="2" t="str">
        <f>"常州大学怀德学院"</f>
        <v>常州大学怀德学院</v>
      </c>
      <c r="N119" s="2" t="str">
        <f>"计算机科学与技术"</f>
        <v>计算机科学与技术</v>
      </c>
      <c r="O119" s="2" t="str">
        <f t="shared" si="50"/>
        <v>本科</v>
      </c>
      <c r="P119" s="2" t="str">
        <f>"167"</f>
        <v>167</v>
      </c>
      <c r="Q119" s="2" t="str">
        <f>"无"</f>
        <v>无</v>
      </c>
      <c r="R119" s="2" t="str">
        <f>"2015.12"</f>
        <v>2015.12</v>
      </c>
      <c r="S119" s="2" t="str">
        <f>"江苏省如皋市如城街道九天丹桂园8号楼403室"</f>
        <v>江苏省如皋市如城街道九天丹桂园8号楼403室</v>
      </c>
      <c r="T119" s="2" t="str">
        <f>"226500"</f>
        <v>226500</v>
      </c>
      <c r="U119" s="2" t="str">
        <f>"051085155943"</f>
        <v>051085155943</v>
      </c>
      <c r="V119" s="2" t="str">
        <f>"18921156109"</f>
        <v>18921156109</v>
      </c>
      <c r="W119" s="2" t="str">
        <f>"无"</f>
        <v>无</v>
      </c>
      <c r="X119" s="2" t="str">
        <f t="shared" si="68"/>
        <v>否</v>
      </c>
      <c r="Y119" s="2" t="str">
        <f>"熟练"</f>
        <v>熟练</v>
      </c>
      <c r="Z119" s="2" t="str">
        <f>"熟练"</f>
        <v>熟练</v>
      </c>
      <c r="AA119" s="2" t="str">
        <f>"丈夫|顾海东|32070部队|父亲|严循华|如皋市博物馆|母亲|丁爱平|退休|||"</f>
        <v>丈夫|顾海东|32070部队|父亲|严循华|如皋市博物馆|母亲|丁爱平|退休|||</v>
      </c>
      <c r="AB119" s="2" t="str">
        <f>"2008年9月至2011年7月 如皋市第一中学 学生_x000D_
2011年9月至2015年7月 常州大学怀德学院计算机科学与技术专业 学生_x000D_
2015年12月至2018年4月 如皋市联合促进就业服务有限公司（村级平台） 协理员_x000D_
2018年5月至2018年10月 无锡深南电路 销售助理"</f>
        <v>2008年9月至2011年7月 如皋市第一中学 学生_x000D_
2011年9月至2015年7月 常州大学怀德学院计算机科学与技术专业 学生_x000D_
2015年12月至2018年4月 如皋市联合促进就业服务有限公司（村级平台） 协理员_x000D_
2018年5月至2018年10月 无锡深南电路 销售助理</v>
      </c>
      <c r="AC119" s="2" t="str">
        <f t="shared" si="70"/>
        <v>无</v>
      </c>
      <c r="AD119" s="2" t="str">
        <f>""</f>
        <v/>
      </c>
      <c r="AE119" s="4">
        <v>43433.602685185186</v>
      </c>
      <c r="AF119" s="2">
        <v>1</v>
      </c>
      <c r="AG119" s="2">
        <v>1</v>
      </c>
      <c r="AH119" s="2">
        <v>1</v>
      </c>
      <c r="AI119" s="2" t="str">
        <f>"18002027428"</f>
        <v>18002027428</v>
      </c>
      <c r="AJ119" s="2">
        <v>74</v>
      </c>
      <c r="AK119" s="2">
        <v>28</v>
      </c>
      <c r="AL119" s="2" t="s">
        <v>42</v>
      </c>
      <c r="AM119" s="2" t="s">
        <v>43</v>
      </c>
      <c r="AN119" s="2">
        <v>2</v>
      </c>
      <c r="AO119" s="2">
        <v>2538</v>
      </c>
      <c r="AP119" s="2" t="s">
        <v>325</v>
      </c>
      <c r="AQ119" s="2"/>
      <c r="AR119" s="2" t="s">
        <v>330</v>
      </c>
      <c r="AS119" s="3" t="s">
        <v>331</v>
      </c>
      <c r="AT119" s="2" t="s">
        <v>117</v>
      </c>
      <c r="AU119" s="2" t="s">
        <v>117</v>
      </c>
      <c r="AV119" s="7">
        <v>69</v>
      </c>
      <c r="AW119" s="2">
        <v>3</v>
      </c>
      <c r="AX119" s="2"/>
      <c r="AY119" s="2"/>
    </row>
    <row r="120" spans="1:51" ht="18.75" customHeight="1">
      <c r="A120" t="str">
        <f>"1002201811301156446916"</f>
        <v>1002201811301156446916</v>
      </c>
      <c r="B120" s="9">
        <v>118</v>
      </c>
      <c r="C120" s="2" t="s">
        <v>124</v>
      </c>
      <c r="D120" s="2" t="str">
        <f>"张波"</f>
        <v>张波</v>
      </c>
      <c r="E120" s="2" t="str">
        <f>"男"</f>
        <v>男</v>
      </c>
      <c r="F120" s="2" t="str">
        <f>"1993-05-21"</f>
        <v>1993-05-21</v>
      </c>
      <c r="G120" s="2" t="str">
        <f>"321323199305210015"</f>
        <v>321323199305210015</v>
      </c>
      <c r="H120" s="2" t="str">
        <f>"江苏省泗阳县"</f>
        <v>江苏省泗阳县</v>
      </c>
      <c r="I120" s="2" t="str">
        <f t="shared" si="69"/>
        <v>非应届生</v>
      </c>
      <c r="J120" s="2" t="str">
        <f>"无"</f>
        <v>无</v>
      </c>
      <c r="K120" s="2" t="str">
        <f>"2015.06"</f>
        <v>2015.06</v>
      </c>
      <c r="L120" s="2" t="str">
        <f t="shared" si="67"/>
        <v>学士</v>
      </c>
      <c r="M120" s="2" t="str">
        <f>"南通大学"</f>
        <v>南通大学</v>
      </c>
      <c r="N120" s="2" t="str">
        <f>"资源环境与城乡规划管理"</f>
        <v>资源环境与城乡规划管理</v>
      </c>
      <c r="O120" s="2" t="str">
        <f t="shared" si="50"/>
        <v>本科</v>
      </c>
      <c r="P120" s="2" t="str">
        <f>"174"</f>
        <v>174</v>
      </c>
      <c r="Q120" s="2" t="str">
        <f>"无"</f>
        <v>无</v>
      </c>
      <c r="R120" s="2" t="str">
        <f>"2015.07"</f>
        <v>2015.07</v>
      </c>
      <c r="S120" s="2" t="str">
        <f>"江苏省泗阳县京西花园6号楼1单元202室"</f>
        <v>江苏省泗阳县京西花园6号楼1单元202室</v>
      </c>
      <c r="T120" s="2" t="str">
        <f>"223700"</f>
        <v>223700</v>
      </c>
      <c r="U120" s="2" t="str">
        <f>"无"</f>
        <v>无</v>
      </c>
      <c r="V120" s="2" t="str">
        <f>"15152863529"</f>
        <v>15152863529</v>
      </c>
      <c r="W120" s="2" t="str">
        <f>"无等级"</f>
        <v>无等级</v>
      </c>
      <c r="X120" s="2" t="str">
        <f t="shared" si="68"/>
        <v>否</v>
      </c>
      <c r="Y120" s="2" t="str">
        <f>"大学六级"</f>
        <v>大学六级</v>
      </c>
      <c r="Z120" s="2" t="str">
        <f>"二级VB"</f>
        <v>二级VB</v>
      </c>
      <c r="AA120" s="2" t="str">
        <f>"父亲|张利|个体户|母亲|叶秀梅|个体户||||||"</f>
        <v>父亲|张利|个体户|母亲|叶秀梅|个体户||||||</v>
      </c>
      <c r="AB120" s="2" t="str">
        <f>"2008.09-2011.06 江苏省泗阳中学 学生_x000D_
2011.09-2015.06 南通大学地理科学学院资源环境与城乡规划管理专业 学生_x000D_
2015.07-2016.03 泗阳县方圆建筑设计公司 职员_x000D_
2016.04-2018.06 苏酒贸易有限公司 职员"</f>
        <v>2008.09-2011.06 江苏省泗阳中学 学生_x000D_
2011.09-2015.06 南通大学地理科学学院资源环境与城乡规划管理专业 学生_x000D_
2015.07-2016.03 泗阳县方圆建筑设计公司 职员_x000D_
2016.04-2018.06 苏酒贸易有限公司 职员</v>
      </c>
      <c r="AC120" s="2" t="str">
        <f>"无"</f>
        <v>无</v>
      </c>
      <c r="AD120" s="2" t="str">
        <f>""</f>
        <v/>
      </c>
      <c r="AE120" s="4">
        <v>43434.607314814813</v>
      </c>
      <c r="AF120" s="2">
        <v>1</v>
      </c>
      <c r="AG120" s="2">
        <v>1</v>
      </c>
      <c r="AH120" s="2">
        <v>3</v>
      </c>
      <c r="AI120" s="2" t="str">
        <f>"18002010128"</f>
        <v>18002010128</v>
      </c>
      <c r="AJ120" s="2">
        <v>1</v>
      </c>
      <c r="AK120" s="2">
        <v>28</v>
      </c>
      <c r="AL120" s="2" t="s">
        <v>119</v>
      </c>
      <c r="AM120" s="2" t="s">
        <v>120</v>
      </c>
      <c r="AN120" s="2">
        <v>1</v>
      </c>
      <c r="AO120" s="2">
        <v>1719</v>
      </c>
      <c r="AP120" s="2" t="s">
        <v>125</v>
      </c>
      <c r="AQ120" s="2"/>
      <c r="AR120" s="2" t="s">
        <v>330</v>
      </c>
      <c r="AS120" s="3" t="s">
        <v>331</v>
      </c>
      <c r="AT120" s="2" t="s">
        <v>117</v>
      </c>
      <c r="AU120" s="2" t="s">
        <v>117</v>
      </c>
      <c r="AV120" s="7">
        <v>73</v>
      </c>
      <c r="AW120" s="2">
        <v>1</v>
      </c>
      <c r="AX120" s="2"/>
      <c r="AY120" s="2"/>
    </row>
    <row r="121" spans="1:51" ht="18.75" customHeight="1">
      <c r="A121" t="str">
        <f>"1002201811282042495283"</f>
        <v>1002201811282042495283</v>
      </c>
      <c r="B121" s="9">
        <v>119</v>
      </c>
      <c r="C121" s="2" t="s">
        <v>124</v>
      </c>
      <c r="D121" s="2" t="str">
        <f>"刘超"</f>
        <v>刘超</v>
      </c>
      <c r="E121" s="2" t="str">
        <f>"男"</f>
        <v>男</v>
      </c>
      <c r="F121" s="2" t="str">
        <f>"1985-04-12"</f>
        <v>1985-04-12</v>
      </c>
      <c r="G121" s="2" t="str">
        <f>"210181198504128016"</f>
        <v>210181198504128016</v>
      </c>
      <c r="H121" s="2" t="str">
        <f>"辽宁省沈阳市新民市"</f>
        <v>辽宁省沈阳市新民市</v>
      </c>
      <c r="I121" s="2" t="str">
        <f t="shared" si="69"/>
        <v>非应届生</v>
      </c>
      <c r="J121" s="2" t="str">
        <f>"助理工程师"</f>
        <v>助理工程师</v>
      </c>
      <c r="K121" s="2" t="str">
        <f>"2010.07"</f>
        <v>2010.07</v>
      </c>
      <c r="L121" s="2" t="str">
        <f t="shared" si="67"/>
        <v>学士</v>
      </c>
      <c r="M121" s="2" t="str">
        <f>"辽宁工程技术大学"</f>
        <v>辽宁工程技术大学</v>
      </c>
      <c r="N121" s="2" t="str">
        <f>"建筑学"</f>
        <v>建筑学</v>
      </c>
      <c r="O121" s="2" t="str">
        <f t="shared" si="50"/>
        <v>本科</v>
      </c>
      <c r="P121" s="2" t="str">
        <f>"180"</f>
        <v>180</v>
      </c>
      <c r="Q121" s="2" t="str">
        <f>"无"</f>
        <v>无</v>
      </c>
      <c r="R121" s="2" t="str">
        <f>"2011.11"</f>
        <v>2011.11</v>
      </c>
      <c r="S121" s="2" t="str">
        <f>"辽宁省沈阳市铁西区景星北街17-1号"</f>
        <v>辽宁省沈阳市铁西区景星北街17-1号</v>
      </c>
      <c r="T121" s="2" t="str">
        <f>"110020"</f>
        <v>110020</v>
      </c>
      <c r="U121" s="2" t="str">
        <f>"024-27600880"</f>
        <v>024-27600880</v>
      </c>
      <c r="V121" s="2" t="str">
        <f>"13664161176"</f>
        <v>13664161176</v>
      </c>
      <c r="W121" s="2" t="str">
        <f>"标准"</f>
        <v>标准</v>
      </c>
      <c r="X121" s="2" t="str">
        <f t="shared" si="68"/>
        <v>否</v>
      </c>
      <c r="Y121" s="2" t="str">
        <f>"无"</f>
        <v>无</v>
      </c>
      <c r="Z121" s="2" t="str">
        <f>"无"</f>
        <v>无</v>
      </c>
      <c r="AA121" s="2" t="str">
        <f>"父亲|刘文民|退休|母亲|王玉芹|退休||||||"</f>
        <v>父亲|刘文民|退休|母亲|王玉芹|退休||||||</v>
      </c>
      <c r="AB121" s="2" t="str">
        <f>"2001.09-2005.07 辽宁省沈阳市新民市高级中学 学生_x000D_
2005.09-2010.07 辽宁工程技术大学建筑与工程学院建筑学专业 学生_x000D_
2011.11-2018.10 沈阳市环境保护工程设计研究院 职员_x000D_
2018.11至今 待业"</f>
        <v>2001.09-2005.07 辽宁省沈阳市新民市高级中学 学生_x000D_
2005.09-2010.07 辽宁工程技术大学建筑与工程学院建筑学专业 学生_x000D_
2011.11-2018.10 沈阳市环境保护工程设计研究院 职员_x000D_
2018.11至今 待业</v>
      </c>
      <c r="AC121" s="2" t="str">
        <f>"无"</f>
        <v>无</v>
      </c>
      <c r="AD121" s="2" t="str">
        <f>""</f>
        <v/>
      </c>
      <c r="AE121" s="4">
        <v>43433.39298611111</v>
      </c>
      <c r="AF121" s="2">
        <v>1</v>
      </c>
      <c r="AG121" s="2">
        <v>1</v>
      </c>
      <c r="AH121" s="2">
        <v>3</v>
      </c>
      <c r="AI121" s="2" t="str">
        <f>"18002010204"</f>
        <v>18002010204</v>
      </c>
      <c r="AJ121" s="2">
        <v>2</v>
      </c>
      <c r="AK121" s="2">
        <v>4</v>
      </c>
      <c r="AL121" s="2" t="s">
        <v>119</v>
      </c>
      <c r="AM121" s="2" t="s">
        <v>120</v>
      </c>
      <c r="AN121" s="2">
        <v>1</v>
      </c>
      <c r="AO121" s="2">
        <v>3681</v>
      </c>
      <c r="AP121" s="2" t="s">
        <v>126</v>
      </c>
      <c r="AQ121" s="2"/>
      <c r="AR121" s="2" t="s">
        <v>330</v>
      </c>
      <c r="AS121" s="3" t="s">
        <v>331</v>
      </c>
      <c r="AT121" s="2" t="s">
        <v>117</v>
      </c>
      <c r="AU121" s="2" t="s">
        <v>117</v>
      </c>
      <c r="AV121" s="7">
        <v>69.55</v>
      </c>
      <c r="AW121" s="2">
        <v>2</v>
      </c>
      <c r="AX121" s="2"/>
      <c r="AY121" s="2"/>
    </row>
    <row r="122" spans="1:51" ht="18.75" customHeight="1">
      <c r="A122" t="str">
        <f>"1002201811282224265395"</f>
        <v>1002201811282224265395</v>
      </c>
      <c r="B122" s="9">
        <v>120</v>
      </c>
      <c r="C122" s="2" t="s">
        <v>124</v>
      </c>
      <c r="D122" s="2" t="str">
        <f>"顾巍"</f>
        <v>顾巍</v>
      </c>
      <c r="E122" s="2" t="str">
        <f>"男"</f>
        <v>男</v>
      </c>
      <c r="F122" s="2" t="str">
        <f>"1984-11-25"</f>
        <v>1984-11-25</v>
      </c>
      <c r="G122" s="2" t="str">
        <f>"320623198411257811"</f>
        <v>320623198411257811</v>
      </c>
      <c r="H122" s="2" t="str">
        <f>"江苏如东"</f>
        <v>江苏如东</v>
      </c>
      <c r="I122" s="2" t="str">
        <f t="shared" si="69"/>
        <v>非应届生</v>
      </c>
      <c r="J122" s="2" t="str">
        <f>"助理畜牧师"</f>
        <v>助理畜牧师</v>
      </c>
      <c r="K122" s="2" t="str">
        <f>"2013-07-30"</f>
        <v>2013-07-30</v>
      </c>
      <c r="L122" s="2" t="str">
        <f t="shared" si="67"/>
        <v>学士</v>
      </c>
      <c r="M122" s="2" t="str">
        <f>"南京大学"</f>
        <v>南京大学</v>
      </c>
      <c r="N122" s="2" t="str">
        <f>"资源环境与城乡规划管理"</f>
        <v>资源环境与城乡规划管理</v>
      </c>
      <c r="O122" s="2" t="str">
        <f t="shared" si="50"/>
        <v>本科</v>
      </c>
      <c r="P122" s="2" t="str">
        <f>"178"</f>
        <v>178</v>
      </c>
      <c r="Q122" s="2" t="str">
        <f>"如东县马塘畜牧兽医站"</f>
        <v>如东县马塘畜牧兽医站</v>
      </c>
      <c r="R122" s="2" t="str">
        <f>"2008-10-13"</f>
        <v>2008-10-13</v>
      </c>
      <c r="S122" s="2" t="str">
        <f>"如东县马塘镇马南村15组30号"</f>
        <v>如东县马塘镇马南村15组30号</v>
      </c>
      <c r="T122" s="2" t="str">
        <f>"226401"</f>
        <v>226401</v>
      </c>
      <c r="U122" s="2" t="str">
        <f>"17305255996"</f>
        <v>17305255996</v>
      </c>
      <c r="V122" s="2" t="str">
        <f>"15162898537"</f>
        <v>15162898537</v>
      </c>
      <c r="W122" s="2" t="str">
        <f>"二级甲等"</f>
        <v>二级甲等</v>
      </c>
      <c r="X122" s="2" t="str">
        <f t="shared" si="68"/>
        <v>否</v>
      </c>
      <c r="Y122" s="2" t="str">
        <f>"大学英语四级CET4"</f>
        <v>大学英语四级CET4</v>
      </c>
      <c r="Z122" s="2" t="str">
        <f>"精通"</f>
        <v>精通</v>
      </c>
      <c r="AA122" s="2" t="str">
        <f>"母亲|魏剑玲|原如东县马塘镇集体商业公司 （退休职工）|配偶|刘敏敏|中国建设银行股份有限公司南通分行||||||"</f>
        <v>母亲|魏剑玲|原如东县马塘镇集体商业公司 （退休职工）|配偶|刘敏敏|中国建设银行股份有限公司南通分行||||||</v>
      </c>
      <c r="AB122" s="5" t="s">
        <v>127</v>
      </c>
      <c r="AC122" s="2" t="str">
        <f>"无"</f>
        <v>无</v>
      </c>
      <c r="AD122" s="2" t="str">
        <f>""</f>
        <v/>
      </c>
      <c r="AE122" s="4">
        <v>43434.426296296297</v>
      </c>
      <c r="AF122" s="2">
        <v>1</v>
      </c>
      <c r="AG122" s="2">
        <v>1</v>
      </c>
      <c r="AH122" s="2">
        <v>1</v>
      </c>
      <c r="AI122" s="2" t="str">
        <f>"18002010218"</f>
        <v>18002010218</v>
      </c>
      <c r="AJ122" s="2">
        <v>2</v>
      </c>
      <c r="AK122" s="2">
        <v>18</v>
      </c>
      <c r="AL122" s="2" t="s">
        <v>119</v>
      </c>
      <c r="AM122" s="2" t="s">
        <v>120</v>
      </c>
      <c r="AN122" s="2">
        <v>1</v>
      </c>
      <c r="AO122" s="2">
        <v>7990</v>
      </c>
      <c r="AP122" s="2" t="s">
        <v>128</v>
      </c>
      <c r="AQ122" s="2"/>
      <c r="AR122" s="2" t="s">
        <v>330</v>
      </c>
      <c r="AS122" s="3" t="s">
        <v>331</v>
      </c>
      <c r="AT122" s="2" t="s">
        <v>117</v>
      </c>
      <c r="AU122" s="2" t="s">
        <v>117</v>
      </c>
      <c r="AV122" s="7">
        <v>69.150000000000006</v>
      </c>
      <c r="AW122" s="2">
        <v>3</v>
      </c>
      <c r="AX122" s="2"/>
      <c r="AY122" s="2"/>
    </row>
    <row r="123" spans="1:51" ht="18.75" customHeight="1">
      <c r="A123" t="str">
        <f>"1002201811261117261240"</f>
        <v>1002201811261117261240</v>
      </c>
      <c r="B123" s="9">
        <v>121</v>
      </c>
      <c r="C123" s="2" t="s">
        <v>129</v>
      </c>
      <c r="D123" s="2" t="str">
        <f>"冒甜甜"</f>
        <v>冒甜甜</v>
      </c>
      <c r="E123" s="2" t="str">
        <f t="shared" ref="E123:E129" si="71">"女"</f>
        <v>女</v>
      </c>
      <c r="F123" s="2" t="str">
        <f>"1993-08-23"</f>
        <v>1993-08-23</v>
      </c>
      <c r="G123" s="2" t="str">
        <f>"320682199308237964"</f>
        <v>320682199308237964</v>
      </c>
      <c r="H123" s="2" t="str">
        <f>"江苏省如皋市城北街道陆姚居9组26号"</f>
        <v>江苏省如皋市城北街道陆姚居9组26号</v>
      </c>
      <c r="I123" s="2" t="str">
        <f t="shared" si="69"/>
        <v>非应届生</v>
      </c>
      <c r="J123" s="2" t="str">
        <f t="shared" ref="J123" si="72">"无"</f>
        <v>无</v>
      </c>
      <c r="K123" s="2" t="str">
        <f>"2015.06"</f>
        <v>2015.06</v>
      </c>
      <c r="L123" s="2" t="str">
        <f t="shared" si="67"/>
        <v>学士</v>
      </c>
      <c r="M123" s="2" t="str">
        <f>"南京审计学院"</f>
        <v>南京审计学院</v>
      </c>
      <c r="N123" s="2" t="str">
        <f>"金融学"</f>
        <v>金融学</v>
      </c>
      <c r="O123" s="2" t="str">
        <f t="shared" si="50"/>
        <v>本科</v>
      </c>
      <c r="P123" s="2" t="str">
        <f>"160"</f>
        <v>160</v>
      </c>
      <c r="Q123" s="2" t="str">
        <f>"如皋市统计局"</f>
        <v>如皋市统计局</v>
      </c>
      <c r="R123" s="2" t="str">
        <f>"2015.07"</f>
        <v>2015.07</v>
      </c>
      <c r="S123" s="2" t="str">
        <f>"如皋市中央公园2号楼304"</f>
        <v>如皋市中央公园2号楼304</v>
      </c>
      <c r="T123" s="2" t="str">
        <f>"226500"</f>
        <v>226500</v>
      </c>
      <c r="U123" s="2" t="str">
        <f>"无"</f>
        <v>无</v>
      </c>
      <c r="V123" s="2" t="str">
        <f>"15851295699"</f>
        <v>15851295699</v>
      </c>
      <c r="W123" s="2" t="str">
        <f>"二级甲等"</f>
        <v>二级甲等</v>
      </c>
      <c r="X123" s="2" t="str">
        <f t="shared" si="68"/>
        <v>否</v>
      </c>
      <c r="Y123" s="2" t="str">
        <f>"六级"</f>
        <v>六级</v>
      </c>
      <c r="Z123" s="2" t="str">
        <f>"二级"</f>
        <v>二级</v>
      </c>
      <c r="AA123" s="2" t="str">
        <f>"夫妻|刘阳阳|南通海泰科特精密材料有限公司|母女|冒红兰|无|父女|肖兵|南通华振建筑劳务有限公司|||"</f>
        <v>夫妻|刘阳阳|南通海泰科特精密材料有限公司|母女|冒红兰|无|父女|肖兵|南通华振建筑劳务有限公司|||</v>
      </c>
      <c r="AB123" s="2" t="str">
        <f>"2008.09－2011.07  如皋市第一中学  学生_x000D_
2011.09.2015.06   南京审计学院金融学专业  学生_x000D_
2015.07－2017.11  宁波银行苏州分行昆山支行  职员_x000D_
2018.09至今     如皋市统计局普查中心    合同制职员"</f>
        <v>2008.09－2011.07  如皋市第一中学  学生_x000D_
2011.09.2015.06   南京审计学院金融学专业  学生_x000D_
2015.07－2017.11  宁波银行苏州分行昆山支行  职员_x000D_
2018.09至今     如皋市统计局普查中心    合同制职员</v>
      </c>
      <c r="AC123" s="2" t="str">
        <f>"无"</f>
        <v>无</v>
      </c>
      <c r="AD123" s="2" t="str">
        <f>""</f>
        <v/>
      </c>
      <c r="AE123" s="4">
        <v>43433.45076388889</v>
      </c>
      <c r="AF123" s="2">
        <v>1</v>
      </c>
      <c r="AG123" s="2">
        <v>1</v>
      </c>
      <c r="AH123" s="2">
        <v>1</v>
      </c>
      <c r="AI123" s="2" t="str">
        <f>"18002010426"</f>
        <v>18002010426</v>
      </c>
      <c r="AJ123" s="2">
        <v>4</v>
      </c>
      <c r="AK123" s="2">
        <v>26</v>
      </c>
      <c r="AL123" s="2" t="s">
        <v>119</v>
      </c>
      <c r="AM123" s="2" t="s">
        <v>120</v>
      </c>
      <c r="AN123" s="2">
        <v>1</v>
      </c>
      <c r="AO123" s="2">
        <v>5579</v>
      </c>
      <c r="AP123" s="2" t="s">
        <v>46</v>
      </c>
      <c r="AQ123" s="2"/>
      <c r="AR123" s="2" t="s">
        <v>330</v>
      </c>
      <c r="AS123" s="3" t="s">
        <v>331</v>
      </c>
      <c r="AT123" s="2" t="s">
        <v>117</v>
      </c>
      <c r="AU123" s="2" t="s">
        <v>117</v>
      </c>
      <c r="AV123" s="7">
        <v>77.900000000000006</v>
      </c>
      <c r="AW123" s="2">
        <v>1</v>
      </c>
      <c r="AX123" s="2"/>
      <c r="AY123" s="2"/>
    </row>
    <row r="124" spans="1:51" ht="18.75" customHeight="1">
      <c r="A124" t="str">
        <f>"1002201811271812184042"</f>
        <v>1002201811271812184042</v>
      </c>
      <c r="B124" s="9">
        <v>122</v>
      </c>
      <c r="C124" s="2" t="s">
        <v>129</v>
      </c>
      <c r="D124" s="2" t="str">
        <f>"杜媛源"</f>
        <v>杜媛源</v>
      </c>
      <c r="E124" s="2" t="str">
        <f t="shared" si="71"/>
        <v>女</v>
      </c>
      <c r="F124" s="2" t="str">
        <f>"1987-12-31"</f>
        <v>1987-12-31</v>
      </c>
      <c r="G124" s="2" t="str">
        <f>"320682198712314525"</f>
        <v>320682198712314525</v>
      </c>
      <c r="H124" s="2" t="str">
        <f>"如皋"</f>
        <v>如皋</v>
      </c>
      <c r="I124" s="2" t="str">
        <f t="shared" si="69"/>
        <v>非应届生</v>
      </c>
      <c r="J124" s="2" t="str">
        <f>"会计从业资格证、金融理财师"</f>
        <v>会计从业资格证、金融理财师</v>
      </c>
      <c r="K124" s="2" t="str">
        <f>"2010.06"</f>
        <v>2010.06</v>
      </c>
      <c r="L124" s="2" t="str">
        <f t="shared" si="67"/>
        <v>学士</v>
      </c>
      <c r="M124" s="2" t="str">
        <f>"南京财经大学"</f>
        <v>南京财经大学</v>
      </c>
      <c r="N124" s="2" t="str">
        <f>"税务"</f>
        <v>税务</v>
      </c>
      <c r="O124" s="2" t="str">
        <f t="shared" si="50"/>
        <v>本科</v>
      </c>
      <c r="P124" s="2" t="str">
        <f>"165"</f>
        <v>165</v>
      </c>
      <c r="Q124" s="2" t="str">
        <f>"如皋市人民检察院"</f>
        <v>如皋市人民检察院</v>
      </c>
      <c r="R124" s="2" t="str">
        <f>"2010.09"</f>
        <v>2010.09</v>
      </c>
      <c r="S124" s="2" t="str">
        <f>"如皋市如城街道御龙湾3-1601"</f>
        <v>如皋市如城街道御龙湾3-1601</v>
      </c>
      <c r="T124" s="2" t="str">
        <f>"226500"</f>
        <v>226500</v>
      </c>
      <c r="U124" s="2" t="str">
        <f>"无"</f>
        <v>无</v>
      </c>
      <c r="V124" s="2" t="str">
        <f>"15262792782"</f>
        <v>15262792782</v>
      </c>
      <c r="W124" s="2" t="str">
        <f>"二级乙等"</f>
        <v>二级乙等</v>
      </c>
      <c r="X124" s="2" t="str">
        <f t="shared" si="68"/>
        <v>否</v>
      </c>
      <c r="Y124" s="2" t="str">
        <f>"英语四级"</f>
        <v>英语四级</v>
      </c>
      <c r="Z124" s="2" t="str">
        <f>"二级"</f>
        <v>二级</v>
      </c>
      <c r="AA124" s="2" t="str">
        <f>"父亲|杜志军|个体|母亲|孙桂芳|无||||||"</f>
        <v>父亲|杜志军|个体|母亲|孙桂芳|无||||||</v>
      </c>
      <c r="AB124" s="2" t="str">
        <f>"2002.09-2005.06 如皋市二案中学 学生_x000D_
2005.09-2006.06 如皋粮校 学生_x000D_
2006.09-2010.06 南京财经大学财政与税务学院税务专业 学生_x000D_
2010.09-2014.10 中国建设银行如皋支行 柜员_x000D_
2014.11-2018.07 南通天瑞生物科技有限公司 会计_x000D_
2018.08至今 如皋市人民检察院 辅助文员_x000D_
"</f>
        <v xml:space="preserve">2002.09-2005.06 如皋市二案中学 学生_x000D_
2005.09-2006.06 如皋粮校 学生_x000D_
2006.09-2010.06 南京财经大学财政与税务学院税务专业 学生_x000D_
2010.09-2014.10 中国建设银行如皋支行 柜员_x000D_
2014.11-2018.07 南通天瑞生物科技有限公司 会计_x000D_
2018.08至今 如皋市人民检察院 辅助文员_x000D_
</v>
      </c>
      <c r="AC124" s="2" t="str">
        <f>"有两年以上工作经历"</f>
        <v>有两年以上工作经历</v>
      </c>
      <c r="AD124" s="2" t="str">
        <f>""</f>
        <v/>
      </c>
      <c r="AE124" s="4">
        <v>43432.385428240741</v>
      </c>
      <c r="AF124" s="2">
        <v>1</v>
      </c>
      <c r="AG124" s="2">
        <v>1</v>
      </c>
      <c r="AH124" s="2">
        <v>1</v>
      </c>
      <c r="AI124" s="2" t="str">
        <f>"18002010511"</f>
        <v>18002010511</v>
      </c>
      <c r="AJ124" s="2">
        <v>5</v>
      </c>
      <c r="AK124" s="2">
        <v>11</v>
      </c>
      <c r="AL124" s="2" t="s">
        <v>119</v>
      </c>
      <c r="AM124" s="2" t="s">
        <v>120</v>
      </c>
      <c r="AN124" s="2">
        <v>1</v>
      </c>
      <c r="AO124" s="2">
        <v>6889</v>
      </c>
      <c r="AP124" s="2" t="s">
        <v>131</v>
      </c>
      <c r="AQ124" s="2"/>
      <c r="AR124" s="2" t="s">
        <v>330</v>
      </c>
      <c r="AS124" s="3" t="s">
        <v>331</v>
      </c>
      <c r="AT124" s="2" t="s">
        <v>117</v>
      </c>
      <c r="AU124" s="2" t="s">
        <v>117</v>
      </c>
      <c r="AV124" s="7">
        <v>74.45</v>
      </c>
      <c r="AW124" s="2">
        <v>2</v>
      </c>
      <c r="AX124" s="2"/>
      <c r="AY124" s="2"/>
    </row>
    <row r="125" spans="1:51" ht="18.75" customHeight="1">
      <c r="A125" t="str">
        <f>"1002201811261725152378"</f>
        <v>1002201811261725152378</v>
      </c>
      <c r="B125" s="9">
        <v>123</v>
      </c>
      <c r="C125" s="2" t="s">
        <v>129</v>
      </c>
      <c r="D125" s="2" t="str">
        <f>"刘琳"</f>
        <v>刘琳</v>
      </c>
      <c r="E125" s="2" t="str">
        <f t="shared" si="71"/>
        <v>女</v>
      </c>
      <c r="F125" s="2" t="str">
        <f>"1992-09-04"</f>
        <v>1992-09-04</v>
      </c>
      <c r="G125" s="2" t="str">
        <f>"320682199209043160"</f>
        <v>320682199209043160</v>
      </c>
      <c r="H125" s="2" t="str">
        <f>"江苏如皋"</f>
        <v>江苏如皋</v>
      </c>
      <c r="I125" s="2" t="str">
        <f t="shared" si="69"/>
        <v>非应届生</v>
      </c>
      <c r="J125" s="2" t="str">
        <f t="shared" ref="J125:J128" si="73">"无"</f>
        <v>无</v>
      </c>
      <c r="K125" s="2" t="str">
        <f>"2010.6"</f>
        <v>2010.6</v>
      </c>
      <c r="L125" s="2" t="str">
        <f t="shared" si="67"/>
        <v>学士</v>
      </c>
      <c r="M125" s="2" t="str">
        <f>"扬州大学"</f>
        <v>扬州大学</v>
      </c>
      <c r="N125" s="2" t="str">
        <f>"经济学"</f>
        <v>经济学</v>
      </c>
      <c r="O125" s="2" t="str">
        <f t="shared" si="50"/>
        <v>本科</v>
      </c>
      <c r="P125" s="2" t="str">
        <f>"158"</f>
        <v>158</v>
      </c>
      <c r="Q125" s="2" t="str">
        <f>"如皋市旅游投资发展有限公司"</f>
        <v>如皋市旅游投资发展有限公司</v>
      </c>
      <c r="R125" s="2" t="str">
        <f>"2014.7"</f>
        <v>2014.7</v>
      </c>
      <c r="S125" s="2" t="str">
        <f>"如皋市金鼎名城"</f>
        <v>如皋市金鼎名城</v>
      </c>
      <c r="T125" s="2" t="str">
        <f>"226500"</f>
        <v>226500</v>
      </c>
      <c r="U125" s="2" t="str">
        <f>"无"</f>
        <v>无</v>
      </c>
      <c r="V125" s="2" t="str">
        <f>"15950826012"</f>
        <v>15950826012</v>
      </c>
      <c r="W125" s="2" t="str">
        <f>"无"</f>
        <v>无</v>
      </c>
      <c r="X125" s="2" t="str">
        <f t="shared" si="68"/>
        <v>否</v>
      </c>
      <c r="Y125" s="2" t="str">
        <f>"全国大学生英语六级"</f>
        <v>全国大学生英语六级</v>
      </c>
      <c r="Z125" s="2" t="str">
        <f>"全国计算机二级"</f>
        <v>全国计算机二级</v>
      </c>
      <c r="AA125" s="2" t="str">
        <f>"丈夫|石亚南|如皋市国税局|母亲|刘巧芳|务农|父亲|刘红明|务农|||"</f>
        <v>丈夫|石亚南|如皋市国税局|母亲|刘巧芳|务农|父亲|刘红明|务农|||</v>
      </c>
      <c r="AB125" s="2" t="str">
        <f>"2007.9-2010.6 江苏省江安高级中学 学生_x000D_
2010.9-2014.6 扬州大学商学院经济学专业 学生_x000D_
2014.7-2016.3 林德（中国）叉车有限公司苏州分公司 职员_x000D_
2016.4-2017.2 江苏百金汇物流有限公司 职员_x000D_
2017.5-2017.8 南通绿润置业有限公司 职员_x000D_
2017.8-至今 如皋市旅游投资发展有限公司 职员_x000D_
_x000D_
"</f>
        <v xml:space="preserve">2007.9-2010.6 江苏省江安高级中学 学生_x000D_
2010.9-2014.6 扬州大学商学院经济学专业 学生_x000D_
2014.7-2016.3 林德（中国）叉车有限公司苏州分公司 职员_x000D_
2016.4-2017.2 江苏百金汇物流有限公司 职员_x000D_
2017.5-2017.8 南通绿润置业有限公司 职员_x000D_
2017.8-至今 如皋市旅游投资发展有限公司 职员_x000D_
_x000D_
</v>
      </c>
      <c r="AC125" s="2" t="str">
        <f>"无"</f>
        <v>无</v>
      </c>
      <c r="AD125" s="2" t="str">
        <f>""</f>
        <v/>
      </c>
      <c r="AE125" s="4">
        <v>43433.616446759261</v>
      </c>
      <c r="AF125" s="2">
        <v>1</v>
      </c>
      <c r="AG125" s="2">
        <v>1</v>
      </c>
      <c r="AH125" s="2">
        <v>1</v>
      </c>
      <c r="AI125" s="2" t="str">
        <f>"18002010312"</f>
        <v>18002010312</v>
      </c>
      <c r="AJ125" s="2">
        <v>3</v>
      </c>
      <c r="AK125" s="2">
        <v>12</v>
      </c>
      <c r="AL125" s="2" t="s">
        <v>119</v>
      </c>
      <c r="AM125" s="2" t="s">
        <v>120</v>
      </c>
      <c r="AN125" s="2">
        <v>1</v>
      </c>
      <c r="AO125" s="2">
        <v>1365</v>
      </c>
      <c r="AP125" s="2" t="s">
        <v>130</v>
      </c>
      <c r="AQ125" s="2"/>
      <c r="AR125" s="2" t="s">
        <v>330</v>
      </c>
      <c r="AS125" s="3" t="s">
        <v>331</v>
      </c>
      <c r="AT125" s="2" t="s">
        <v>117</v>
      </c>
      <c r="AU125" s="2" t="s">
        <v>117</v>
      </c>
      <c r="AV125" s="7">
        <v>73.400000000000006</v>
      </c>
      <c r="AW125" s="2">
        <v>3</v>
      </c>
      <c r="AX125" s="2"/>
      <c r="AY125" s="2"/>
    </row>
    <row r="126" spans="1:51" ht="18.75" customHeight="1">
      <c r="A126" t="str">
        <f>"1002201811261311161662"</f>
        <v>1002201811261311161662</v>
      </c>
      <c r="B126" s="9">
        <v>124</v>
      </c>
      <c r="C126" s="2" t="s">
        <v>132</v>
      </c>
      <c r="D126" s="2" t="str">
        <f>"陆朝芳"</f>
        <v>陆朝芳</v>
      </c>
      <c r="E126" s="2" t="str">
        <f t="shared" si="71"/>
        <v>女</v>
      </c>
      <c r="F126" s="2" t="str">
        <f>"1989-05-17"</f>
        <v>1989-05-17</v>
      </c>
      <c r="G126" s="2" t="str">
        <f>"320586198905177627"</f>
        <v>320586198905177627</v>
      </c>
      <c r="H126" s="2" t="str">
        <f>"江苏省苏州市吴中区临湖镇浦庄界路村6组"</f>
        <v>江苏省苏州市吴中区临湖镇浦庄界路村6组</v>
      </c>
      <c r="I126" s="2" t="str">
        <f t="shared" si="69"/>
        <v>非应届生</v>
      </c>
      <c r="J126" s="2" t="str">
        <f t="shared" si="73"/>
        <v>无</v>
      </c>
      <c r="K126" s="2" t="str">
        <f>"2012.06"</f>
        <v>2012.06</v>
      </c>
      <c r="L126" s="2" t="str">
        <f t="shared" si="67"/>
        <v>学士</v>
      </c>
      <c r="M126" s="2" t="str">
        <f>"盐城师范学院"</f>
        <v>盐城师范学院</v>
      </c>
      <c r="N126" s="2" t="str">
        <f>"广播电视新闻学"</f>
        <v>广播电视新闻学</v>
      </c>
      <c r="O126" s="2" t="str">
        <f t="shared" si="50"/>
        <v>本科</v>
      </c>
      <c r="P126" s="2" t="str">
        <f>"160"</f>
        <v>160</v>
      </c>
      <c r="Q126" s="2" t="str">
        <f>"苏州市吴中区临湖镇浦庄村委会"</f>
        <v>苏州市吴中区临湖镇浦庄村委会</v>
      </c>
      <c r="R126" s="2" t="str">
        <f>"2012.10"</f>
        <v>2012.10</v>
      </c>
      <c r="S126" s="2" t="str">
        <f>"江苏省苏州市吴中区临湖镇浦庄界路村6组"</f>
        <v>江苏省苏州市吴中区临湖镇浦庄界路村6组</v>
      </c>
      <c r="T126" s="2" t="str">
        <f>"215105"</f>
        <v>215105</v>
      </c>
      <c r="U126" s="2" t="str">
        <f>"0512-66537738"</f>
        <v>0512-66537738</v>
      </c>
      <c r="V126" s="2" t="str">
        <f>"18168738952"</f>
        <v>18168738952</v>
      </c>
      <c r="W126" s="2" t="str">
        <f>"二乙"</f>
        <v>二乙</v>
      </c>
      <c r="X126" s="2" t="str">
        <f>"是"</f>
        <v>是</v>
      </c>
      <c r="Y126" s="2" t="str">
        <f>"大学英语六级"</f>
        <v>大学英语六级</v>
      </c>
      <c r="Z126" s="2" t="str">
        <f>"全国计算机等级一级"</f>
        <v>全国计算机等级一级</v>
      </c>
      <c r="AA126" s="2" t="str">
        <f>"父亲|陆伟明|个体|母亲|吴美娣|退休||||||"</f>
        <v>父亲|陆伟明|个体|母亲|吴美娣|退休||||||</v>
      </c>
      <c r="AB126" s="2" t="str">
        <f>"2005.9-2008.6	江苏省木渎高级中学_x000D_
2008.9-2012.6	盐城师范学院_x000D_
2012.10-2017.10  苏州海关机关服务中心_x000D_
2018.9—至今     浦庄村委会_x000D_
"</f>
        <v xml:space="preserve">2005.9-2008.6	江苏省木渎高级中学_x000D_
2008.9-2012.6	盐城师范学院_x000D_
2012.10-2017.10  苏州海关机关服务中心_x000D_
2018.9—至今     浦庄村委会_x000D_
</v>
      </c>
      <c r="AC126" s="2" t="str">
        <f>"无"</f>
        <v>无</v>
      </c>
      <c r="AD126" s="2" t="str">
        <f>""</f>
        <v/>
      </c>
      <c r="AE126" s="4">
        <v>43434.405532407407</v>
      </c>
      <c r="AF126" s="2">
        <v>1</v>
      </c>
      <c r="AG126" s="2">
        <v>1</v>
      </c>
      <c r="AH126" s="2">
        <v>1</v>
      </c>
      <c r="AI126" s="2" t="str">
        <f>"18002010729"</f>
        <v>18002010729</v>
      </c>
      <c r="AJ126" s="2">
        <v>7</v>
      </c>
      <c r="AK126" s="2">
        <v>29</v>
      </c>
      <c r="AL126" s="2" t="s">
        <v>119</v>
      </c>
      <c r="AM126" s="2" t="s">
        <v>120</v>
      </c>
      <c r="AN126" s="2">
        <v>1</v>
      </c>
      <c r="AO126" s="2">
        <v>7986</v>
      </c>
      <c r="AP126" s="2" t="s">
        <v>135</v>
      </c>
      <c r="AQ126" s="2"/>
      <c r="AR126" s="2" t="s">
        <v>330</v>
      </c>
      <c r="AS126" s="3" t="s">
        <v>331</v>
      </c>
      <c r="AT126" s="2" t="s">
        <v>117</v>
      </c>
      <c r="AU126" s="2" t="s">
        <v>117</v>
      </c>
      <c r="AV126" s="7">
        <v>70.7</v>
      </c>
      <c r="AW126" s="2">
        <v>1</v>
      </c>
      <c r="AX126" s="2"/>
      <c r="AY126" s="2"/>
    </row>
    <row r="127" spans="1:51" ht="18.75" customHeight="1">
      <c r="A127" t="str">
        <f>"1002201811281333074819"</f>
        <v>1002201811281333074819</v>
      </c>
      <c r="B127" s="9">
        <v>125</v>
      </c>
      <c r="C127" s="2" t="s">
        <v>132</v>
      </c>
      <c r="D127" s="2" t="str">
        <f>"杨静雯"</f>
        <v>杨静雯</v>
      </c>
      <c r="E127" s="2" t="str">
        <f t="shared" si="71"/>
        <v>女</v>
      </c>
      <c r="F127" s="2" t="str">
        <f>"1994-03-04"</f>
        <v>1994-03-04</v>
      </c>
      <c r="G127" s="2" t="str">
        <f>"320682199403048969"</f>
        <v>320682199403048969</v>
      </c>
      <c r="H127" s="2" t="str">
        <f>"江苏"</f>
        <v>江苏</v>
      </c>
      <c r="I127" s="2" t="str">
        <f t="shared" si="69"/>
        <v>非应届生</v>
      </c>
      <c r="J127" s="2" t="str">
        <f t="shared" si="73"/>
        <v>无</v>
      </c>
      <c r="K127" s="2" t="str">
        <f>"2016.06"</f>
        <v>2016.06</v>
      </c>
      <c r="L127" s="2" t="str">
        <f t="shared" si="67"/>
        <v>学士</v>
      </c>
      <c r="M127" s="2" t="str">
        <f>"苏州大学文正学院"</f>
        <v>苏州大学文正学院</v>
      </c>
      <c r="N127" s="2" t="str">
        <f>"新闻学"</f>
        <v>新闻学</v>
      </c>
      <c r="O127" s="2" t="str">
        <f t="shared" si="50"/>
        <v>本科</v>
      </c>
      <c r="P127" s="2" t="str">
        <f>"158"</f>
        <v>158</v>
      </c>
      <c r="Q127" s="2" t="str">
        <f>"无"</f>
        <v>无</v>
      </c>
      <c r="R127" s="2" t="str">
        <f>"2016.10-2018.10"</f>
        <v>2016.10-2018.10</v>
      </c>
      <c r="S127" s="2" t="str">
        <f>"江苏省如皋市荷兰小镇一幢909室"</f>
        <v>江苏省如皋市荷兰小镇一幢909室</v>
      </c>
      <c r="T127" s="2" t="str">
        <f>"226500"</f>
        <v>226500</v>
      </c>
      <c r="U127" s="2" t="str">
        <f>"0513-87620909"</f>
        <v>0513-87620909</v>
      </c>
      <c r="V127" s="2" t="str">
        <f>"13915527501"</f>
        <v>13915527501</v>
      </c>
      <c r="W127" s="2" t="str">
        <f>"二乙"</f>
        <v>二乙</v>
      </c>
      <c r="X127" s="2" t="str">
        <f t="shared" ref="X127:X161" si="74">"否"</f>
        <v>否</v>
      </c>
      <c r="Y127" s="2" t="str">
        <f>"四级"</f>
        <v>四级</v>
      </c>
      <c r="Z127" s="2" t="str">
        <f>"国家计算机一级"</f>
        <v>国家计算机一级</v>
      </c>
      <c r="AA127" s="2" t="str">
        <f>"父亲|杨红卫|如皋市供电局|母亲|吴建萍|无||||||"</f>
        <v>父亲|杨红卫|如皋市供电局|母亲|吴建萍|无||||||</v>
      </c>
      <c r="AB127" s="2" t="str">
        <f>"2009.09-2012.06如皋市第一中学 学生_x000D_
2012.09-2016.06苏州大学文正学院 学生_x000D_
2016.10-2018.10苏州伯虎堂文化创意有限公司 职员"</f>
        <v>2009.09-2012.06如皋市第一中学 学生_x000D_
2012.09-2016.06苏州大学文正学院 学生_x000D_
2016.10-2018.10苏州伯虎堂文化创意有限公司 职员</v>
      </c>
      <c r="AC127" s="2" t="str">
        <f>"具有2年及以上工作经历"</f>
        <v>具有2年及以上工作经历</v>
      </c>
      <c r="AD127" s="2" t="str">
        <f>""</f>
        <v/>
      </c>
      <c r="AE127" s="4">
        <v>43432.618680555555</v>
      </c>
      <c r="AF127" s="2">
        <v>1</v>
      </c>
      <c r="AG127" s="2">
        <v>1</v>
      </c>
      <c r="AH127" s="2">
        <v>3</v>
      </c>
      <c r="AI127" s="2" t="str">
        <f>"18002010706"</f>
        <v>18002010706</v>
      </c>
      <c r="AJ127" s="2">
        <v>7</v>
      </c>
      <c r="AK127" s="2">
        <v>6</v>
      </c>
      <c r="AL127" s="2" t="s">
        <v>119</v>
      </c>
      <c r="AM127" s="2" t="s">
        <v>120</v>
      </c>
      <c r="AN127" s="2">
        <v>1</v>
      </c>
      <c r="AO127" s="2">
        <v>3280</v>
      </c>
      <c r="AP127" s="2" t="s">
        <v>134</v>
      </c>
      <c r="AQ127" s="2"/>
      <c r="AR127" s="2" t="s">
        <v>330</v>
      </c>
      <c r="AS127" s="3" t="s">
        <v>331</v>
      </c>
      <c r="AT127" s="2" t="s">
        <v>117</v>
      </c>
      <c r="AU127" s="2" t="s">
        <v>117</v>
      </c>
      <c r="AV127" s="7">
        <v>70.349999999999994</v>
      </c>
      <c r="AW127" s="2">
        <v>2</v>
      </c>
      <c r="AX127" s="2"/>
      <c r="AY127" s="2"/>
    </row>
    <row r="128" spans="1:51" ht="18.75" customHeight="1">
      <c r="A128" t="str">
        <f>"1002201811271941204159"</f>
        <v>1002201811271941204159</v>
      </c>
      <c r="B128" s="9">
        <v>126</v>
      </c>
      <c r="C128" s="2" t="s">
        <v>132</v>
      </c>
      <c r="D128" s="2" t="str">
        <f>"李双阳"</f>
        <v>李双阳</v>
      </c>
      <c r="E128" s="2" t="str">
        <f t="shared" si="71"/>
        <v>女</v>
      </c>
      <c r="F128" s="2" t="str">
        <f>"1991-11-01"</f>
        <v>1991-11-01</v>
      </c>
      <c r="G128" s="2" t="str">
        <f>"320682199111016623"</f>
        <v>320682199111016623</v>
      </c>
      <c r="H128" s="2" t="str">
        <f>"江苏如皋"</f>
        <v>江苏如皋</v>
      </c>
      <c r="I128" s="2" t="str">
        <f t="shared" si="69"/>
        <v>非应届生</v>
      </c>
      <c r="J128" s="2" t="str">
        <f t="shared" si="73"/>
        <v>无</v>
      </c>
      <c r="K128" s="2" t="str">
        <f>"2014.06"</f>
        <v>2014.06</v>
      </c>
      <c r="L128" s="2" t="str">
        <f t="shared" si="67"/>
        <v>学士</v>
      </c>
      <c r="M128" s="2" t="str">
        <f>"苏州大学"</f>
        <v>苏州大学</v>
      </c>
      <c r="N128" s="2" t="str">
        <f>"广告学（会展方向）"</f>
        <v>广告学（会展方向）</v>
      </c>
      <c r="O128" s="2" t="str">
        <f t="shared" si="50"/>
        <v>本科</v>
      </c>
      <c r="P128" s="2" t="str">
        <f>"164"</f>
        <v>164</v>
      </c>
      <c r="Q128" s="2" t="str">
        <f>"南通凤凰橡胶制品有限公司"</f>
        <v>南通凤凰橡胶制品有限公司</v>
      </c>
      <c r="R128" s="2" t="str">
        <f>"2014.07"</f>
        <v>2014.07</v>
      </c>
      <c r="S128" s="2" t="str">
        <f>"江苏省如皋市如城街道申港豪园5幢1003室"</f>
        <v>江苏省如皋市如城街道申港豪园5幢1003室</v>
      </c>
      <c r="T128" s="2" t="str">
        <f>"226500"</f>
        <v>226500</v>
      </c>
      <c r="U128" s="2" t="str">
        <f>"无"</f>
        <v>无</v>
      </c>
      <c r="V128" s="2" t="str">
        <f>"13511589789"</f>
        <v>13511589789</v>
      </c>
      <c r="W128" s="2" t="str">
        <f>"无"</f>
        <v>无</v>
      </c>
      <c r="X128" s="2" t="str">
        <f t="shared" si="74"/>
        <v>否</v>
      </c>
      <c r="Y128" s="2" t="str">
        <f>"大学英语6级"</f>
        <v>大学英语6级</v>
      </c>
      <c r="Z128" s="2" t="str">
        <f>"江苏计算机一级"</f>
        <v>江苏计算机一级</v>
      </c>
      <c r="AA128" s="2" t="str">
        <f>"父亲|李宏进|南通凤凰橡胶制品有限公司|母亲|俞勋英|农民||||||"</f>
        <v>父亲|李宏进|南通凤凰橡胶制品有限公司|母亲|俞勋英|农民||||||</v>
      </c>
      <c r="AB128" s="2" t="str">
        <f>"2007.09-2010.06如皋市第一中学 学生_x000D_
2010.09-2014.06苏州大学广告学专业 学生_x000D_
2014.07-2016.02林德中国叉车有限公司苏州分公司 职员_x000D_
2016.06-2018.03江苏神马电力股份有限公司 职员_x000D_
2018.04至今 南通凤凰橡胶制品有限公司 职员"</f>
        <v>2007.09-2010.06如皋市第一中学 学生_x000D_
2010.09-2014.06苏州大学广告学专业 学生_x000D_
2014.07-2016.02林德中国叉车有限公司苏州分公司 职员_x000D_
2016.06-2018.03江苏神马电力股份有限公司 职员_x000D_
2018.04至今 南通凤凰橡胶制品有限公司 职员</v>
      </c>
      <c r="AC128" s="2" t="str">
        <f>"无"</f>
        <v>无</v>
      </c>
      <c r="AD128" s="2" t="str">
        <f>""</f>
        <v/>
      </c>
      <c r="AE128" s="4">
        <v>43434.43277777778</v>
      </c>
      <c r="AF128" s="2">
        <v>1</v>
      </c>
      <c r="AG128" s="2">
        <v>1</v>
      </c>
      <c r="AH128" s="2">
        <v>1</v>
      </c>
      <c r="AI128" s="2" t="str">
        <f>"18002010619"</f>
        <v>18002010619</v>
      </c>
      <c r="AJ128" s="2">
        <v>6</v>
      </c>
      <c r="AK128" s="2">
        <v>19</v>
      </c>
      <c r="AL128" s="2" t="s">
        <v>119</v>
      </c>
      <c r="AM128" s="2" t="s">
        <v>120</v>
      </c>
      <c r="AN128" s="2">
        <v>1</v>
      </c>
      <c r="AO128" s="2">
        <v>94</v>
      </c>
      <c r="AP128" s="2" t="s">
        <v>133</v>
      </c>
      <c r="AQ128" s="2"/>
      <c r="AR128" s="2" t="s">
        <v>330</v>
      </c>
      <c r="AS128" s="3" t="s">
        <v>331</v>
      </c>
      <c r="AT128" s="2" t="s">
        <v>117</v>
      </c>
      <c r="AU128" s="2" t="s">
        <v>117</v>
      </c>
      <c r="AV128" s="7">
        <v>70.25</v>
      </c>
      <c r="AW128" s="2">
        <v>3</v>
      </c>
      <c r="AX128" s="2"/>
      <c r="AY128" s="2"/>
    </row>
    <row r="129" spans="1:51" ht="18.75" customHeight="1">
      <c r="A129" t="str">
        <f>"1002201811292250196537"</f>
        <v>1002201811292250196537</v>
      </c>
      <c r="B129" s="9">
        <v>127</v>
      </c>
      <c r="C129" s="2" t="s">
        <v>53</v>
      </c>
      <c r="D129" s="2" t="str">
        <f>"黄捷"</f>
        <v>黄捷</v>
      </c>
      <c r="E129" s="2" t="str">
        <f t="shared" si="71"/>
        <v>女</v>
      </c>
      <c r="F129" s="2" t="str">
        <f>"1986-10-09"</f>
        <v>1986-10-09</v>
      </c>
      <c r="G129" s="2" t="str">
        <f>"320682198610095800"</f>
        <v>320682198610095800</v>
      </c>
      <c r="H129" s="2" t="str">
        <f>"江苏如皋"</f>
        <v>江苏如皋</v>
      </c>
      <c r="I129" s="2" t="str">
        <f t="shared" si="69"/>
        <v>非应届生</v>
      </c>
      <c r="J129" s="2" t="str">
        <f>"中级信息系统管理工程师"</f>
        <v>中级信息系统管理工程师</v>
      </c>
      <c r="K129" s="2" t="str">
        <f>"2008.6"</f>
        <v>2008.6</v>
      </c>
      <c r="L129" s="2" t="str">
        <f t="shared" si="67"/>
        <v>学士</v>
      </c>
      <c r="M129" s="2" t="str">
        <f>"天津外国语学院"</f>
        <v>天津外国语学院</v>
      </c>
      <c r="N129" s="2" t="str">
        <f>"信息管理与信息系统"</f>
        <v>信息管理与信息系统</v>
      </c>
      <c r="O129" s="2" t="str">
        <f t="shared" si="50"/>
        <v>本科</v>
      </c>
      <c r="P129" s="2" t="str">
        <f>"165cm"</f>
        <v>165cm</v>
      </c>
      <c r="Q129" s="2" t="str">
        <f>"如皋市妇幼保健计划生育服务中心"</f>
        <v>如皋市妇幼保健计划生育服务中心</v>
      </c>
      <c r="R129" s="2" t="str">
        <f>"2008.8"</f>
        <v>2008.8</v>
      </c>
      <c r="S129" s="2" t="str">
        <f>"江苏省南通市如皋市如城街道金茂国际15-902"</f>
        <v>江苏省南通市如皋市如城街道金茂国际15-902</v>
      </c>
      <c r="T129" s="2" t="str">
        <f>"226500"</f>
        <v>226500</v>
      </c>
      <c r="U129" s="2" t="str">
        <f>"0513-87655060"</f>
        <v>0513-87655060</v>
      </c>
      <c r="V129" s="2" t="str">
        <f>"13773843605"</f>
        <v>13773843605</v>
      </c>
      <c r="W129" s="2" t="str">
        <f>"无"</f>
        <v>无</v>
      </c>
      <c r="X129" s="2" t="str">
        <f t="shared" si="74"/>
        <v>否</v>
      </c>
      <c r="Y129" s="2" t="str">
        <f>"cet-6"</f>
        <v>cet-6</v>
      </c>
      <c r="Z129" s="2" t="str">
        <f>"全国计算机一级"</f>
        <v>全国计算机一级</v>
      </c>
      <c r="AA129" s="2" t="str">
        <f>"丈夫|周凌云|上海远洋运输公司|女儿|周璟然|小学生|儿子|周璟程|学龄前儿童|||"</f>
        <v>丈夫|周凌云|上海远洋运输公司|女儿|周璟然|小学生|儿子|周璟程|学龄前儿童|||</v>
      </c>
      <c r="AB129" s="2" t="str">
        <f>"2001.9-2004.6 如皋市江安高级中学 学生_x000D_
2004.9-2008.6 天津外国语学院信息管理与信息系统专业 学生_x000D_
2008.8-2009.6 苏州华硕科技有限公司 职员_x000D_
2009.12至今 如皋市妇幼保健计划生育服务中心"</f>
        <v>2001.9-2004.6 如皋市江安高级中学 学生_x000D_
2004.9-2008.6 天津外国语学院信息管理与信息系统专业 学生_x000D_
2008.8-2009.6 苏州华硕科技有限公司 职员_x000D_
2009.12至今 如皋市妇幼保健计划生育服务中心</v>
      </c>
      <c r="AC129" s="2" t="str">
        <f>"已具有两年及以上工作经历"</f>
        <v>已具有两年及以上工作经历</v>
      </c>
      <c r="AD129" s="2" t="str">
        <f>""</f>
        <v/>
      </c>
      <c r="AE129" s="4">
        <v>43430.540092592593</v>
      </c>
      <c r="AF129" s="2">
        <v>1</v>
      </c>
      <c r="AG129" s="2">
        <v>1</v>
      </c>
      <c r="AH129" s="2">
        <v>6</v>
      </c>
      <c r="AI129" s="2" t="str">
        <f>"18002029017"</f>
        <v>18002029017</v>
      </c>
      <c r="AJ129" s="2">
        <v>90</v>
      </c>
      <c r="AK129" s="2">
        <v>17</v>
      </c>
      <c r="AL129" s="2" t="s">
        <v>42</v>
      </c>
      <c r="AM129" s="2" t="s">
        <v>43</v>
      </c>
      <c r="AN129" s="2">
        <v>2</v>
      </c>
      <c r="AO129" s="2">
        <v>8771</v>
      </c>
      <c r="AP129" s="2" t="s">
        <v>57</v>
      </c>
      <c r="AQ129" s="2"/>
      <c r="AR129" s="2" t="s">
        <v>104</v>
      </c>
      <c r="AS129" s="3" t="s">
        <v>109</v>
      </c>
      <c r="AT129" s="2">
        <v>85</v>
      </c>
      <c r="AU129" s="2" t="s">
        <v>117</v>
      </c>
      <c r="AV129" s="6">
        <f t="shared" ref="AV129:AV131" si="75">AT129</f>
        <v>85</v>
      </c>
      <c r="AW129" s="2">
        <v>1</v>
      </c>
      <c r="AX129" s="2"/>
      <c r="AY129" s="2"/>
    </row>
    <row r="130" spans="1:51" ht="18.75" customHeight="1">
      <c r="A130" t="str">
        <f>"100220181126094942655"</f>
        <v>100220181126094942655</v>
      </c>
      <c r="B130" s="9">
        <v>128</v>
      </c>
      <c r="C130" s="2" t="s">
        <v>53</v>
      </c>
      <c r="D130" s="2" t="str">
        <f>"汪彬"</f>
        <v>汪彬</v>
      </c>
      <c r="E130" s="2" t="str">
        <f>"男"</f>
        <v>男</v>
      </c>
      <c r="F130" s="2" t="str">
        <f>"1988-06-26"</f>
        <v>1988-06-26</v>
      </c>
      <c r="G130" s="2" t="str">
        <f>"321283198806262012"</f>
        <v>321283198806262012</v>
      </c>
      <c r="H130" s="2" t="str">
        <f>"江苏泰兴"</f>
        <v>江苏泰兴</v>
      </c>
      <c r="I130" s="2" t="str">
        <f t="shared" si="69"/>
        <v>非应届生</v>
      </c>
      <c r="J130" s="2" t="str">
        <f>"无"</f>
        <v>无</v>
      </c>
      <c r="K130" s="2" t="str">
        <f>"2010.06"</f>
        <v>2010.06</v>
      </c>
      <c r="L130" s="2" t="str">
        <f t="shared" si="67"/>
        <v>学士</v>
      </c>
      <c r="M130" s="2" t="str">
        <f>"吉林大学"</f>
        <v>吉林大学</v>
      </c>
      <c r="N130" s="2" t="str">
        <f>"电子信息科学与技术"</f>
        <v>电子信息科学与技术</v>
      </c>
      <c r="O130" s="2" t="str">
        <f t="shared" si="50"/>
        <v>本科</v>
      </c>
      <c r="P130" s="2" t="str">
        <f>"170"</f>
        <v>170</v>
      </c>
      <c r="Q130" s="2" t="str">
        <f>"无"</f>
        <v>无</v>
      </c>
      <c r="R130" s="2" t="str">
        <f>"2010.07"</f>
        <v>2010.07</v>
      </c>
      <c r="S130" s="2" t="str">
        <f>"江苏省泰兴市古溪镇古溪西路23号"</f>
        <v>江苏省泰兴市古溪镇古溪西路23号</v>
      </c>
      <c r="T130" s="2" t="str">
        <f>"225417"</f>
        <v>225417</v>
      </c>
      <c r="U130" s="2" t="str">
        <f>"无"</f>
        <v>无</v>
      </c>
      <c r="V130" s="2" t="str">
        <f>"15221698966"</f>
        <v>15221698966</v>
      </c>
      <c r="W130" s="2" t="str">
        <f>"无"</f>
        <v>无</v>
      </c>
      <c r="X130" s="2" t="str">
        <f t="shared" si="74"/>
        <v>否</v>
      </c>
      <c r="Y130" s="2" t="str">
        <f>"大学英语四级"</f>
        <v>大学英语四级</v>
      </c>
      <c r="Z130" s="2" t="str">
        <f>"全国计算机等级三级"</f>
        <v>全国计算机等级三级</v>
      </c>
      <c r="AA130" s="2" t="str">
        <f>"父亲|汪晓和|苏中化工机械有限公司|母亲|周俊芬|恒泰紧固件有限公司||||||"</f>
        <v>父亲|汪晓和|苏中化工机械有限公司|母亲|周俊芬|恒泰紧固件有限公司||||||</v>
      </c>
      <c r="AB130" s="2" t="str">
        <f>"2003.09-2006.06 江苏省黄桥中学 学生_x000D_
2006.09-2010.06 吉林大学电子学院电子信息科学与技术专业 学生_x000D_
2010.07-2012.07 长春泰豪电子装备有限公司 测试助理_x000D_
2012.08-2013.06 上海嘉豪运国际物流有限公司 现场监理_x000D_
2014.03-2016.02 上海江游信息科技有限公司 游戏策划_x000D_
2016.03-2016.08 盛大游戏起源工作室 游戏策划_x000D_
2016.10-2017.09 上海铁骑信息技术有限公司 游戏策划_x000D_
2017.10至今 待业"</f>
        <v>2003.09-2006.06 江苏省黄桥中学 学生_x000D_
2006.09-2010.06 吉林大学电子学院电子信息科学与技术专业 学生_x000D_
2010.07-2012.07 长春泰豪电子装备有限公司 测试助理_x000D_
2012.08-2013.06 上海嘉豪运国际物流有限公司 现场监理_x000D_
2014.03-2016.02 上海江游信息科技有限公司 游戏策划_x000D_
2016.03-2016.08 盛大游戏起源工作室 游戏策划_x000D_
2016.10-2017.09 上海铁骑信息技术有限公司 游戏策划_x000D_
2017.10至今 待业</v>
      </c>
      <c r="AC130" s="2" t="str">
        <f>"具有两年以上工作经历"</f>
        <v>具有两年以上工作经历</v>
      </c>
      <c r="AD130" s="2" t="str">
        <f>""</f>
        <v/>
      </c>
      <c r="AE130" s="4">
        <v>43433.603495370371</v>
      </c>
      <c r="AF130" s="2">
        <v>1</v>
      </c>
      <c r="AG130" s="2">
        <v>1</v>
      </c>
      <c r="AH130" s="2">
        <v>3</v>
      </c>
      <c r="AI130" s="2" t="str">
        <f>"18002029020"</f>
        <v>18002029020</v>
      </c>
      <c r="AJ130" s="2">
        <v>90</v>
      </c>
      <c r="AK130" s="2">
        <v>20</v>
      </c>
      <c r="AL130" s="2" t="s">
        <v>42</v>
      </c>
      <c r="AM130" s="2" t="s">
        <v>43</v>
      </c>
      <c r="AN130" s="2">
        <v>2</v>
      </c>
      <c r="AO130" s="2">
        <v>9650</v>
      </c>
      <c r="AP130" s="2" t="s">
        <v>74</v>
      </c>
      <c r="AQ130" s="2"/>
      <c r="AR130" s="2" t="s">
        <v>104</v>
      </c>
      <c r="AS130" s="3" t="s">
        <v>109</v>
      </c>
      <c r="AT130" s="2">
        <v>83.5</v>
      </c>
      <c r="AU130" s="2" t="s">
        <v>117</v>
      </c>
      <c r="AV130" s="6">
        <f t="shared" si="75"/>
        <v>83.5</v>
      </c>
      <c r="AW130" s="2">
        <v>2</v>
      </c>
      <c r="AX130" s="2"/>
      <c r="AY130" s="2"/>
    </row>
    <row r="131" spans="1:51" ht="18.75" customHeight="1">
      <c r="A131" t="str">
        <f>"1002201811261047391067"</f>
        <v>1002201811261047391067</v>
      </c>
      <c r="B131" s="9">
        <v>129</v>
      </c>
      <c r="C131" s="2" t="s">
        <v>53</v>
      </c>
      <c r="D131" s="2" t="str">
        <f>"刘喜妹"</f>
        <v>刘喜妹</v>
      </c>
      <c r="E131" s="2" t="str">
        <f>"女"</f>
        <v>女</v>
      </c>
      <c r="F131" s="2" t="str">
        <f>"1990-12-12"</f>
        <v>1990-12-12</v>
      </c>
      <c r="G131" s="2" t="str">
        <f>"320682199012128283"</f>
        <v>320682199012128283</v>
      </c>
      <c r="H131" s="2" t="str">
        <f>"江苏如皋"</f>
        <v>江苏如皋</v>
      </c>
      <c r="I131" s="2" t="str">
        <f t="shared" si="69"/>
        <v>非应届生</v>
      </c>
      <c r="J131" s="2" t="str">
        <f>"助理工程师"</f>
        <v>助理工程师</v>
      </c>
      <c r="K131" s="2" t="str">
        <f>"2013.07"</f>
        <v>2013.07</v>
      </c>
      <c r="L131" s="2" t="str">
        <f t="shared" si="67"/>
        <v>学士</v>
      </c>
      <c r="M131" s="2" t="str">
        <f>"淮阴工学院"</f>
        <v>淮阴工学院</v>
      </c>
      <c r="N131" s="2" t="str">
        <f>"计算机科学与技术"</f>
        <v>计算机科学与技术</v>
      </c>
      <c r="O131" s="2" t="str">
        <f t="shared" si="50"/>
        <v>本科</v>
      </c>
      <c r="P131" s="2" t="str">
        <f>"170"</f>
        <v>170</v>
      </c>
      <c r="Q131" s="2" t="str">
        <f>"如皋市技工学校"</f>
        <v>如皋市技工学校</v>
      </c>
      <c r="R131" s="2" t="str">
        <f>"2013.08"</f>
        <v>2013.08</v>
      </c>
      <c r="S131" s="2" t="str">
        <f>"如皋市柴湾镇双龙村4组"</f>
        <v>如皋市柴湾镇双龙村4组</v>
      </c>
      <c r="T131" s="2" t="str">
        <f>"226500"</f>
        <v>226500</v>
      </c>
      <c r="U131" s="2" t="str">
        <f>"87651908"</f>
        <v>87651908</v>
      </c>
      <c r="V131" s="2" t="str">
        <f>"15051232875"</f>
        <v>15051232875</v>
      </c>
      <c r="W131" s="2" t="str">
        <f>"二乙"</f>
        <v>二乙</v>
      </c>
      <c r="X131" s="2" t="str">
        <f t="shared" si="74"/>
        <v>否</v>
      </c>
      <c r="Y131" s="2" t="str">
        <f>"四级"</f>
        <v>四级</v>
      </c>
      <c r="Z131" s="2" t="str">
        <f>"三级"</f>
        <v>三级</v>
      </c>
      <c r="AA131" s="2" t="str">
        <f>"父亲|刘夕兵|务农|母亲|张桂凤|务农||||||"</f>
        <v>父亲|刘夕兵|务农|母亲|张桂凤|务农||||||</v>
      </c>
      <c r="AB131" s="2" t="str">
        <f>"2006.09_2009.06，如皋第一职业高级中学，学生_x000D_
2009.09-2013.06，淮阴工学院，学生_x000D_
2013.08-2016.07，江苏景升印刷有限公司，职员_x000D_
2013.07-至今，如皋市技工学校，职员"</f>
        <v>2006.09_2009.06，如皋第一职业高级中学，学生_x000D_
2009.09-2013.06，淮阴工学院，学生_x000D_
2013.08-2016.07，江苏景升印刷有限公司，职员_x000D_
2013.07-至今，如皋市技工学校，职员</v>
      </c>
      <c r="AC131" s="2" t="str">
        <f>"无"</f>
        <v>无</v>
      </c>
      <c r="AD131" s="2" t="str">
        <f>""</f>
        <v/>
      </c>
      <c r="AE131" s="4">
        <v>43434.442962962959</v>
      </c>
      <c r="AF131" s="2">
        <v>1</v>
      </c>
      <c r="AG131" s="2">
        <v>1</v>
      </c>
      <c r="AH131" s="2">
        <v>1</v>
      </c>
      <c r="AI131" s="2" t="str">
        <f>"18002029021"</f>
        <v>18002029021</v>
      </c>
      <c r="AJ131" s="2">
        <v>90</v>
      </c>
      <c r="AK131" s="2">
        <v>21</v>
      </c>
      <c r="AL131" s="2" t="s">
        <v>42</v>
      </c>
      <c r="AM131" s="2" t="s">
        <v>43</v>
      </c>
      <c r="AN131" s="2">
        <v>2</v>
      </c>
      <c r="AO131" s="2">
        <v>9677</v>
      </c>
      <c r="AP131" s="2" t="s">
        <v>61</v>
      </c>
      <c r="AQ131" s="2"/>
      <c r="AR131" s="2" t="s">
        <v>104</v>
      </c>
      <c r="AS131" s="3" t="s">
        <v>109</v>
      </c>
      <c r="AT131" s="2">
        <v>81.5</v>
      </c>
      <c r="AU131" s="2" t="s">
        <v>117</v>
      </c>
      <c r="AV131" s="6">
        <f t="shared" si="75"/>
        <v>81.5</v>
      </c>
      <c r="AW131" s="2">
        <v>3</v>
      </c>
      <c r="AX131" s="2"/>
      <c r="AY131" s="2"/>
    </row>
    <row r="132" spans="1:51" ht="18.75" customHeight="1">
      <c r="A132" t="str">
        <f>"1002201811261107561185"</f>
        <v>1002201811261107561185</v>
      </c>
      <c r="B132" s="9">
        <v>130</v>
      </c>
      <c r="C132" s="2" t="s">
        <v>136</v>
      </c>
      <c r="D132" s="2" t="str">
        <f>"宗丹"</f>
        <v>宗丹</v>
      </c>
      <c r="E132" s="2" t="str">
        <f t="shared" ref="E132:E134" si="76">"女"</f>
        <v>女</v>
      </c>
      <c r="F132" s="2" t="str">
        <f>"1991-01-08"</f>
        <v>1991-01-08</v>
      </c>
      <c r="G132" s="2" t="str">
        <f>"320682199101086783"</f>
        <v>320682199101086783</v>
      </c>
      <c r="H132" s="2" t="str">
        <f>"江苏省如皋市搬经镇任庄村"</f>
        <v>江苏省如皋市搬经镇任庄村</v>
      </c>
      <c r="I132" s="2" t="str">
        <f t="shared" si="69"/>
        <v>非应届生</v>
      </c>
      <c r="J132" s="2" t="str">
        <f>"无"</f>
        <v>无</v>
      </c>
      <c r="K132" s="2" t="str">
        <f>"2012.06"</f>
        <v>2012.06</v>
      </c>
      <c r="L132" s="2" t="str">
        <f t="shared" si="67"/>
        <v>学士</v>
      </c>
      <c r="M132" s="2" t="str">
        <f>"南通大学"</f>
        <v>南通大学</v>
      </c>
      <c r="N132" s="2" t="str">
        <f>"广播电视新闻专业"</f>
        <v>广播电视新闻专业</v>
      </c>
      <c r="O132" s="2" t="str">
        <f t="shared" si="50"/>
        <v>本科</v>
      </c>
      <c r="P132" s="2" t="str">
        <f>"160"</f>
        <v>160</v>
      </c>
      <c r="Q132" s="2" t="str">
        <f>"如皋市总工会"</f>
        <v>如皋市总工会</v>
      </c>
      <c r="R132" s="2" t="str">
        <f>"2012.11"</f>
        <v>2012.11</v>
      </c>
      <c r="S132" s="2" t="str">
        <f>"江苏省如皋市搬经镇任庄村9组21号"</f>
        <v>江苏省如皋市搬经镇任庄村9组21号</v>
      </c>
      <c r="T132" s="2" t="str">
        <f>"226561"</f>
        <v>226561</v>
      </c>
      <c r="U132" s="2" t="str">
        <f>"18115831311"</f>
        <v>18115831311</v>
      </c>
      <c r="V132" s="2" t="str">
        <f>"13862759269"</f>
        <v>13862759269</v>
      </c>
      <c r="W132" s="2" t="str">
        <f>"二级乙等"</f>
        <v>二级乙等</v>
      </c>
      <c r="X132" s="2" t="str">
        <f t="shared" si="74"/>
        <v>否</v>
      </c>
      <c r="Y132" s="2" t="str">
        <f>"CET-6"</f>
        <v>CET-6</v>
      </c>
      <c r="Z132" s="2" t="str">
        <f>"江苏省高等学校计算机一级"</f>
        <v>江苏省高等学校计算机一级</v>
      </c>
      <c r="AA132" s="2" t="str">
        <f>"父亲|宗书平|个体|母亲|闫太凤|务农||||||"</f>
        <v>父亲|宗书平|个体|母亲|闫太凤|务农||||||</v>
      </c>
      <c r="AB132" s="2" t="str">
        <f>"2005.09-2008.06如皋市搬经中学_x000D_
2008.09-2012.06南通大学文学院广播电视新闻专业 学生_x000D_
2013.06-2015.09南京一六三文化传媒有限公司 职员_x000D_
2016.08-2016.10 如皋吾悦房地产开发有限公司 职员_x000D_
2017.04至今 如皋市总工会 社会化工作者"</f>
        <v>2005.09-2008.06如皋市搬经中学_x000D_
2008.09-2012.06南通大学文学院广播电视新闻专业 学生_x000D_
2013.06-2015.09南京一六三文化传媒有限公司 职员_x000D_
2016.08-2016.10 如皋吾悦房地产开发有限公司 职员_x000D_
2017.04至今 如皋市总工会 社会化工作者</v>
      </c>
      <c r="AC132" s="2" t="str">
        <f>"具有2年以上工作经历"</f>
        <v>具有2年以上工作经历</v>
      </c>
      <c r="AD132" s="2" t="str">
        <f>""</f>
        <v/>
      </c>
      <c r="AE132" s="4">
        <v>43433.464687500003</v>
      </c>
      <c r="AF132" s="2">
        <v>1</v>
      </c>
      <c r="AG132" s="2">
        <v>1</v>
      </c>
      <c r="AH132" s="2">
        <v>1</v>
      </c>
      <c r="AI132" s="2" t="str">
        <f>"18002010906"</f>
        <v>18002010906</v>
      </c>
      <c r="AJ132" s="2">
        <v>9</v>
      </c>
      <c r="AK132" s="2">
        <v>6</v>
      </c>
      <c r="AL132" s="2" t="s">
        <v>119</v>
      </c>
      <c r="AM132" s="2" t="s">
        <v>120</v>
      </c>
      <c r="AN132" s="2">
        <v>1</v>
      </c>
      <c r="AO132" s="2">
        <v>4587</v>
      </c>
      <c r="AP132" s="2" t="s">
        <v>46</v>
      </c>
      <c r="AQ132" s="2"/>
      <c r="AR132" s="2" t="s">
        <v>330</v>
      </c>
      <c r="AS132" s="3" t="s">
        <v>331</v>
      </c>
      <c r="AT132" s="2" t="s">
        <v>117</v>
      </c>
      <c r="AU132" s="2" t="s">
        <v>117</v>
      </c>
      <c r="AV132" s="7">
        <v>74.55</v>
      </c>
      <c r="AW132" s="2">
        <v>1</v>
      </c>
      <c r="AX132" s="2"/>
      <c r="AY132" s="2"/>
    </row>
    <row r="133" spans="1:51" ht="18.75" customHeight="1">
      <c r="A133" t="str">
        <f>"100220181126095707704"</f>
        <v>100220181126095707704</v>
      </c>
      <c r="B133" s="9">
        <v>131</v>
      </c>
      <c r="C133" s="2" t="s">
        <v>136</v>
      </c>
      <c r="D133" s="2" t="str">
        <f>"程安娜"</f>
        <v>程安娜</v>
      </c>
      <c r="E133" s="2" t="str">
        <f t="shared" si="76"/>
        <v>女</v>
      </c>
      <c r="F133" s="2" t="str">
        <f>"1990-11-19"</f>
        <v>1990-11-19</v>
      </c>
      <c r="G133" s="2" t="str">
        <f>"320681199011193028"</f>
        <v>320681199011193028</v>
      </c>
      <c r="H133" s="2" t="str">
        <f>"启东市久隆镇新生街"</f>
        <v>启东市久隆镇新生街</v>
      </c>
      <c r="I133" s="2" t="str">
        <f t="shared" si="69"/>
        <v>非应届生</v>
      </c>
      <c r="J133" s="2" t="str">
        <f>"高级涉外文秘"</f>
        <v>高级涉外文秘</v>
      </c>
      <c r="K133" s="2" t="str">
        <f>"2013.06"</f>
        <v>2013.06</v>
      </c>
      <c r="L133" s="2" t="str">
        <f t="shared" si="67"/>
        <v>学士</v>
      </c>
      <c r="M133" s="2" t="str">
        <f>"苏州科技学院"</f>
        <v>苏州科技学院</v>
      </c>
      <c r="N133" s="2" t="str">
        <f>"汉语言文学（涉外文秘）"</f>
        <v>汉语言文学（涉外文秘）</v>
      </c>
      <c r="O133" s="2" t="str">
        <f t="shared" si="50"/>
        <v>本科</v>
      </c>
      <c r="P133" s="2" t="str">
        <f>"158"</f>
        <v>158</v>
      </c>
      <c r="Q133" s="2" t="str">
        <f>"启东市民政局"</f>
        <v>启东市民政局</v>
      </c>
      <c r="R133" s="2" t="str">
        <f>"2013.09"</f>
        <v>2013.09</v>
      </c>
      <c r="S133" s="2" t="str">
        <f>"启东市汇龙镇香格花园15号203"</f>
        <v>启东市汇龙镇香格花园15号203</v>
      </c>
      <c r="T133" s="2" t="str">
        <f>"226200"</f>
        <v>226200</v>
      </c>
      <c r="U133" s="2" t="str">
        <f>"051383215871"</f>
        <v>051383215871</v>
      </c>
      <c r="V133" s="2" t="str">
        <f>"18862812985"</f>
        <v>18862812985</v>
      </c>
      <c r="W133" s="2" t="str">
        <f>"二级甲等"</f>
        <v>二级甲等</v>
      </c>
      <c r="X133" s="2" t="str">
        <f t="shared" si="74"/>
        <v>否</v>
      </c>
      <c r="Y133" s="2" t="str">
        <f>"大学英语六级"</f>
        <v>大学英语六级</v>
      </c>
      <c r="Z133" s="2" t="str">
        <f>"国家一级"</f>
        <v>国家一级</v>
      </c>
      <c r="AA133" s="2" t="str">
        <f>"父女|程益新|河北沧州万兴房地产公司|母女|施亚群||夫妻|顾林杰|启东市高新区产业园|||"</f>
        <v>父女|程益新|河北沧州万兴房地产公司|母女|施亚群||夫妻|顾林杰|启东市高新区产业园|||</v>
      </c>
      <c r="AB133" s="2" t="str">
        <f>"2006.09-2009.06 启东中学_x000D_
2009.09-2013.06 苏州科技学院_x000D_
2013.06-至今    自办辅导班_x000D_
2015.11-至今    启东市民政局"</f>
        <v>2006.09-2009.06 启东中学_x000D_
2009.09-2013.06 苏州科技学院_x000D_
2013.06-至今    自办辅导班_x000D_
2015.11-至今    启东市民政局</v>
      </c>
      <c r="AC133" s="2" t="str">
        <f>"无"</f>
        <v>无</v>
      </c>
      <c r="AD133" s="2" t="str">
        <f>""</f>
        <v/>
      </c>
      <c r="AE133" s="4">
        <v>43430.670057870368</v>
      </c>
      <c r="AF133" s="2">
        <v>1</v>
      </c>
      <c r="AG133" s="2">
        <v>1</v>
      </c>
      <c r="AH133" s="2">
        <v>1</v>
      </c>
      <c r="AI133" s="2" t="str">
        <f>"18002010815"</f>
        <v>18002010815</v>
      </c>
      <c r="AJ133" s="2">
        <v>8</v>
      </c>
      <c r="AK133" s="2">
        <v>15</v>
      </c>
      <c r="AL133" s="2" t="s">
        <v>119</v>
      </c>
      <c r="AM133" s="2" t="s">
        <v>120</v>
      </c>
      <c r="AN133" s="2">
        <v>1</v>
      </c>
      <c r="AO133" s="2">
        <v>539</v>
      </c>
      <c r="AP133" s="2" t="s">
        <v>137</v>
      </c>
      <c r="AQ133" s="2"/>
      <c r="AR133" s="2" t="s">
        <v>330</v>
      </c>
      <c r="AS133" s="3" t="s">
        <v>331</v>
      </c>
      <c r="AT133" s="2" t="s">
        <v>117</v>
      </c>
      <c r="AU133" s="2" t="s">
        <v>117</v>
      </c>
      <c r="AV133" s="7">
        <v>73.099999999999994</v>
      </c>
      <c r="AW133" s="2">
        <v>2</v>
      </c>
      <c r="AX133" s="2"/>
      <c r="AY133" s="2"/>
    </row>
    <row r="134" spans="1:51" ht="18.75" customHeight="1">
      <c r="A134" t="str">
        <f>"1002201811262006332735"</f>
        <v>1002201811262006332735</v>
      </c>
      <c r="B134" s="9">
        <v>132</v>
      </c>
      <c r="C134" s="2" t="s">
        <v>136</v>
      </c>
      <c r="D134" s="2" t="str">
        <f>"夏冒男"</f>
        <v>夏冒男</v>
      </c>
      <c r="E134" s="2" t="str">
        <f t="shared" si="76"/>
        <v>女</v>
      </c>
      <c r="F134" s="2" t="str">
        <f>"1994-02-24"</f>
        <v>1994-02-24</v>
      </c>
      <c r="G134" s="2" t="str">
        <f>"320682199402240481"</f>
        <v>320682199402240481</v>
      </c>
      <c r="H134" s="2" t="str">
        <f>"江苏省如皋市如城镇"</f>
        <v>江苏省如皋市如城镇</v>
      </c>
      <c r="I134" s="2" t="str">
        <f t="shared" si="69"/>
        <v>非应届生</v>
      </c>
      <c r="J134" s="2" t="str">
        <f>"无"</f>
        <v>无</v>
      </c>
      <c r="K134" s="2" t="str">
        <f>"2016.06"</f>
        <v>2016.06</v>
      </c>
      <c r="L134" s="2" t="str">
        <f t="shared" si="67"/>
        <v>学士</v>
      </c>
      <c r="M134" s="2" t="str">
        <f>"南通大学"</f>
        <v>南通大学</v>
      </c>
      <c r="N134" s="2" t="str">
        <f>"广播电视新闻学"</f>
        <v>广播电视新闻学</v>
      </c>
      <c r="O134" s="2" t="str">
        <f t="shared" si="50"/>
        <v>本科</v>
      </c>
      <c r="P134" s="2" t="str">
        <f>"162"</f>
        <v>162</v>
      </c>
      <c r="Q134" s="2" t="str">
        <f>"江苏省如皋市城市管理综合执法大队锦绣中队辅助人员"</f>
        <v>江苏省如皋市城市管理综合执法大队锦绣中队辅助人员</v>
      </c>
      <c r="R134" s="2" t="str">
        <f>"2016.09"</f>
        <v>2016.09</v>
      </c>
      <c r="S134" s="2" t="str">
        <f>"江苏省如皋市如城镇大殷居7组2号"</f>
        <v>江苏省如皋市如城镇大殷居7组2号</v>
      </c>
      <c r="T134" s="2" t="str">
        <f>"226500"</f>
        <v>226500</v>
      </c>
      <c r="U134" s="2" t="str">
        <f>"无"</f>
        <v>无</v>
      </c>
      <c r="V134" s="2" t="str">
        <f>"18012436519"</f>
        <v>18012436519</v>
      </c>
      <c r="W134" s="2" t="str">
        <f>"二级甲等"</f>
        <v>二级甲等</v>
      </c>
      <c r="X134" s="2" t="str">
        <f t="shared" si="74"/>
        <v>否</v>
      </c>
      <c r="Y134" s="2" t="str">
        <f>"英语四级"</f>
        <v>英语四级</v>
      </c>
      <c r="Z134" s="2" t="str">
        <f>"计算机一级"</f>
        <v>计算机一级</v>
      </c>
      <c r="AA134" s="2" t="str">
        <f>"父女|冒勇军|自由职业|||||||||"</f>
        <v>父女|冒勇军|自由职业|||||||||</v>
      </c>
      <c r="AB134" s="2" t="str">
        <f>"2009.09—2012.06 如皋市丁堰高中 学生_x000D_
2012.09—2016.06 南通大学文学院广播电视新闻学专业 学生_x000D_
2016.09—2016.11 金龙窗帘有限公司 职员_x000D_
2016.12—2017.07 南通市崇川区虹桥社区社干_x000D_
2017.08—至今    如皋市城市管理综合执法大队锦绣中队辅助人员"</f>
        <v>2009.09—2012.06 如皋市丁堰高中 学生_x000D_
2012.09—2016.06 南通大学文学院广播电视新闻学专业 学生_x000D_
2016.09—2016.11 金龙窗帘有限公司 职员_x000D_
2016.12—2017.07 南通市崇川区虹桥社区社干_x000D_
2017.08—至今    如皋市城市管理综合执法大队锦绣中队辅助人员</v>
      </c>
      <c r="AC134" s="2" t="str">
        <f>"具有2年及以上工作经历"</f>
        <v>具有2年及以上工作经历</v>
      </c>
      <c r="AD134" s="2" t="str">
        <f>""</f>
        <v/>
      </c>
      <c r="AE134" s="4">
        <v>43434.595925925925</v>
      </c>
      <c r="AF134" s="2">
        <v>1</v>
      </c>
      <c r="AG134" s="2">
        <v>1</v>
      </c>
      <c r="AH134" s="2">
        <v>2</v>
      </c>
      <c r="AI134" s="2" t="str">
        <f>"18002010816"</f>
        <v>18002010816</v>
      </c>
      <c r="AJ134" s="2">
        <v>8</v>
      </c>
      <c r="AK134" s="2">
        <v>16</v>
      </c>
      <c r="AL134" s="2" t="s">
        <v>119</v>
      </c>
      <c r="AM134" s="2" t="s">
        <v>120</v>
      </c>
      <c r="AN134" s="2">
        <v>1</v>
      </c>
      <c r="AO134" s="2">
        <v>574</v>
      </c>
      <c r="AP134" s="2" t="s">
        <v>138</v>
      </c>
      <c r="AQ134" s="2"/>
      <c r="AR134" s="2" t="s">
        <v>330</v>
      </c>
      <c r="AS134" s="3" t="s">
        <v>331</v>
      </c>
      <c r="AT134" s="2" t="s">
        <v>117</v>
      </c>
      <c r="AU134" s="2" t="s">
        <v>117</v>
      </c>
      <c r="AV134" s="7">
        <v>71.75</v>
      </c>
      <c r="AW134" s="2">
        <v>3</v>
      </c>
      <c r="AX134" s="2"/>
      <c r="AY134" s="2"/>
    </row>
    <row r="135" spans="1:51" ht="18.75" customHeight="1">
      <c r="A135" t="str">
        <f>"1002201811271041363436"</f>
        <v>1002201811271041363436</v>
      </c>
      <c r="B135" s="9">
        <v>133</v>
      </c>
      <c r="C135" s="2" t="s">
        <v>140</v>
      </c>
      <c r="D135" s="2" t="str">
        <f>"曹润玲"</f>
        <v>曹润玲</v>
      </c>
      <c r="E135" s="2" t="str">
        <f>"女"</f>
        <v>女</v>
      </c>
      <c r="F135" s="2" t="str">
        <f>"1989-11-10"</f>
        <v>1989-11-10</v>
      </c>
      <c r="G135" s="2" t="str">
        <f>"320981198911104002"</f>
        <v>320981198911104002</v>
      </c>
      <c r="H135" s="2" t="str">
        <f>"江苏东台"</f>
        <v>江苏东台</v>
      </c>
      <c r="I135" s="2" t="str">
        <f t="shared" si="69"/>
        <v>非应届生</v>
      </c>
      <c r="J135" s="2" t="str">
        <f>"中级统计师"</f>
        <v>中级统计师</v>
      </c>
      <c r="K135" s="2" t="str">
        <f>"2012.06"</f>
        <v>2012.06</v>
      </c>
      <c r="L135" s="2" t="str">
        <f t="shared" si="67"/>
        <v>学士</v>
      </c>
      <c r="M135" s="2" t="str">
        <f>"盐城师范学院"</f>
        <v>盐城师范学院</v>
      </c>
      <c r="N135" s="2" t="str">
        <f>"统计学"</f>
        <v>统计学</v>
      </c>
      <c r="O135" s="2" t="str">
        <f t="shared" si="50"/>
        <v>本科</v>
      </c>
      <c r="P135" s="2" t="str">
        <f>"160"</f>
        <v>160</v>
      </c>
      <c r="Q135" s="2" t="str">
        <f>"东台市西溪旅游文化景区管理委员会"</f>
        <v>东台市西溪旅游文化景区管理委员会</v>
      </c>
      <c r="R135" s="2" t="str">
        <f>"2012.06"</f>
        <v>2012.06</v>
      </c>
      <c r="S135" s="2" t="str">
        <f>"江苏省东台市金水湾c区35栋204"</f>
        <v>江苏省东台市金水湾c区35栋204</v>
      </c>
      <c r="T135" s="2" t="str">
        <f>"214200"</f>
        <v>214200</v>
      </c>
      <c r="U135" s="2" t="str">
        <f>"无"</f>
        <v>无</v>
      </c>
      <c r="V135" s="2" t="str">
        <f>"13851025702"</f>
        <v>13851025702</v>
      </c>
      <c r="W135" s="2" t="str">
        <f>"普通话二级甲等"</f>
        <v>普通话二级甲等</v>
      </c>
      <c r="X135" s="2" t="str">
        <f t="shared" si="74"/>
        <v>否</v>
      </c>
      <c r="Y135" s="2" t="str">
        <f>"大学英语六级"</f>
        <v>大学英语六级</v>
      </c>
      <c r="Z135" s="2" t="str">
        <f>"江苏省计算机二级"</f>
        <v>江苏省计算机二级</v>
      </c>
      <c r="AA135" s="2" t="str">
        <f>"父女|曹春华|个体户|母女|周阿凤|个体户||||||"</f>
        <v>父女|曹春华|个体户|母女|周阿凤|个体户||||||</v>
      </c>
      <c r="AB135" s="2" t="str">
        <f>"2005.09-2008.07 江苏省东台中学 学生_x000D_
2008.09-2012.06 盐城师范学院 统计学专业学生_x000D_
2012.06-2015.03 绿点科技（无锡）有限公司 职员_x000D_
2015.04-2016.12 江苏海泽能源有限公司 职员_x000D_
2017.01-2017.06 盐城海泰新能源有限公司 职员_x000D_
2017.06-至今  东台市西溪景区管委会 办事员"</f>
        <v>2005.09-2008.07 江苏省东台中学 学生_x000D_
2008.09-2012.06 盐城师范学院 统计学专业学生_x000D_
2012.06-2015.03 绿点科技（无锡）有限公司 职员_x000D_
2015.04-2016.12 江苏海泽能源有限公司 职员_x000D_
2017.01-2017.06 盐城海泰新能源有限公司 职员_x000D_
2017.06-至今  东台市西溪景区管委会 办事员</v>
      </c>
      <c r="AC135" s="2" t="str">
        <f>"无"</f>
        <v>无</v>
      </c>
      <c r="AD135" s="2" t="str">
        <f>""</f>
        <v/>
      </c>
      <c r="AE135" s="4">
        <v>43431.466284722221</v>
      </c>
      <c r="AF135" s="2">
        <v>1</v>
      </c>
      <c r="AG135" s="2">
        <v>1</v>
      </c>
      <c r="AH135" s="2">
        <v>1</v>
      </c>
      <c r="AI135" s="2" t="str">
        <f>"18002011012"</f>
        <v>18002011012</v>
      </c>
      <c r="AJ135" s="2">
        <v>10</v>
      </c>
      <c r="AK135" s="2">
        <v>12</v>
      </c>
      <c r="AL135" s="2" t="s">
        <v>119</v>
      </c>
      <c r="AM135" s="2" t="s">
        <v>120</v>
      </c>
      <c r="AN135" s="2">
        <v>1</v>
      </c>
      <c r="AO135" s="2">
        <v>3886</v>
      </c>
      <c r="AP135" s="2" t="s">
        <v>142</v>
      </c>
      <c r="AQ135" s="2"/>
      <c r="AR135" s="2" t="s">
        <v>330</v>
      </c>
      <c r="AS135" s="3" t="s">
        <v>331</v>
      </c>
      <c r="AT135" s="2" t="s">
        <v>117</v>
      </c>
      <c r="AU135" s="2" t="s">
        <v>117</v>
      </c>
      <c r="AV135" s="7">
        <v>67.099999999999994</v>
      </c>
      <c r="AW135" s="2">
        <v>1</v>
      </c>
      <c r="AX135" s="2"/>
      <c r="AY135" s="2"/>
    </row>
    <row r="136" spans="1:51" ht="18.75" customHeight="1">
      <c r="A136" t="str">
        <f>"1002201811262029542785"</f>
        <v>1002201811262029542785</v>
      </c>
      <c r="B136" s="9">
        <v>134</v>
      </c>
      <c r="C136" s="2" t="s">
        <v>140</v>
      </c>
      <c r="D136" s="2" t="str">
        <f>"张佳伟"</f>
        <v>张佳伟</v>
      </c>
      <c r="E136" s="2" t="str">
        <f>"男"</f>
        <v>男</v>
      </c>
      <c r="F136" s="2" t="str">
        <f>"1990-12-27"</f>
        <v>1990-12-27</v>
      </c>
      <c r="G136" s="2" t="str">
        <f>"320623199012271215"</f>
        <v>320623199012271215</v>
      </c>
      <c r="H136" s="2" t="str">
        <f>"江苏如东"</f>
        <v>江苏如东</v>
      </c>
      <c r="I136" s="2" t="str">
        <f t="shared" si="69"/>
        <v>非应届生</v>
      </c>
      <c r="J136" s="2" t="str">
        <f t="shared" ref="J136:J137" si="77">"无"</f>
        <v>无</v>
      </c>
      <c r="K136" s="2" t="str">
        <f>"2012.06"</f>
        <v>2012.06</v>
      </c>
      <c r="L136" s="2" t="str">
        <f t="shared" si="67"/>
        <v>学士</v>
      </c>
      <c r="M136" s="2" t="str">
        <f>"常熟理工学院"</f>
        <v>常熟理工学院</v>
      </c>
      <c r="N136" s="2" t="str">
        <f>"统计学"</f>
        <v>统计学</v>
      </c>
      <c r="O136" s="2" t="str">
        <f t="shared" si="50"/>
        <v>本科</v>
      </c>
      <c r="P136" s="2" t="str">
        <f>"170"</f>
        <v>170</v>
      </c>
      <c r="Q136" s="2" t="str">
        <f>"江苏常熟农村商业银行股份有限公司如东支行"</f>
        <v>江苏常熟农村商业银行股份有限公司如东支行</v>
      </c>
      <c r="R136" s="2" t="str">
        <f>"2012.07"</f>
        <v>2012.07</v>
      </c>
      <c r="S136" s="2" t="str">
        <f>"江苏省如东县大豫镇马家店村四组51号"</f>
        <v>江苏省如东县大豫镇马家店村四组51号</v>
      </c>
      <c r="T136" s="2" t="str">
        <f>"226400"</f>
        <v>226400</v>
      </c>
      <c r="U136" s="2" t="str">
        <f>"051384189995"</f>
        <v>051384189995</v>
      </c>
      <c r="V136" s="2" t="str">
        <f>"18761776699"</f>
        <v>18761776699</v>
      </c>
      <c r="W136" s="2" t="str">
        <f>"无"</f>
        <v>无</v>
      </c>
      <c r="X136" s="2" t="str">
        <f t="shared" si="74"/>
        <v>否</v>
      </c>
      <c r="Y136" s="2" t="str">
        <f>"精通"</f>
        <v>精通</v>
      </c>
      <c r="Z136" s="2" t="str">
        <f>"二级"</f>
        <v>二级</v>
      </c>
      <c r="AA136" s="2" t="str">
        <f>"妻子|陈佳雯|如东县海洋与渔业局|||||||||"</f>
        <v>妻子|陈佳雯|如东县海洋与渔业局|||||||||</v>
      </c>
      <c r="AB136" s="2" t="str">
        <f>"2008.09-2012.06 常熟理工学院 学生_x000D_
2012.07至今 常熟农商银行 职员"</f>
        <v>2008.09-2012.06 常熟理工学院 学生_x000D_
2012.07至今 常熟农商银行 职员</v>
      </c>
      <c r="AC136" s="2" t="str">
        <f>"本人持有会计证与银行从业资格证，熟悉各项银行业务，掌握各类统计软件，并且熟悉计算机各类系统应用与维修技能。"</f>
        <v>本人持有会计证与银行从业资格证，熟悉各项银行业务，掌握各类统计软件，并且熟悉计算机各类系统应用与维修技能。</v>
      </c>
      <c r="AD136" s="2" t="str">
        <f>""</f>
        <v/>
      </c>
      <c r="AE136" s="4">
        <v>43431.426041666666</v>
      </c>
      <c r="AF136" s="2">
        <v>1</v>
      </c>
      <c r="AG136" s="2">
        <v>1</v>
      </c>
      <c r="AH136" s="2">
        <v>4</v>
      </c>
      <c r="AI136" s="2" t="str">
        <f>"18002011007"</f>
        <v>18002011007</v>
      </c>
      <c r="AJ136" s="2">
        <v>10</v>
      </c>
      <c r="AK136" s="2">
        <v>7</v>
      </c>
      <c r="AL136" s="2" t="s">
        <v>119</v>
      </c>
      <c r="AM136" s="2" t="s">
        <v>120</v>
      </c>
      <c r="AN136" s="2">
        <v>1</v>
      </c>
      <c r="AO136" s="2">
        <v>2816</v>
      </c>
      <c r="AP136" s="2" t="s">
        <v>141</v>
      </c>
      <c r="AQ136" s="2"/>
      <c r="AR136" s="2" t="s">
        <v>330</v>
      </c>
      <c r="AS136" s="3" t="s">
        <v>331</v>
      </c>
      <c r="AT136" s="2" t="s">
        <v>117</v>
      </c>
      <c r="AU136" s="2" t="s">
        <v>117</v>
      </c>
      <c r="AV136" s="7">
        <v>66.45</v>
      </c>
      <c r="AW136" s="2">
        <v>2</v>
      </c>
      <c r="AX136" s="2"/>
      <c r="AY136" s="2"/>
    </row>
    <row r="137" spans="1:51" ht="18.75" customHeight="1">
      <c r="A137" t="str">
        <f>"1002201811270911593215"</f>
        <v>1002201811270911593215</v>
      </c>
      <c r="B137" s="9">
        <v>135</v>
      </c>
      <c r="C137" s="2" t="s">
        <v>140</v>
      </c>
      <c r="D137" s="2" t="str">
        <f>"顾海燕"</f>
        <v>顾海燕</v>
      </c>
      <c r="E137" s="2" t="str">
        <f>"女"</f>
        <v>女</v>
      </c>
      <c r="F137" s="2" t="str">
        <f>"1989-05-07"</f>
        <v>1989-05-07</v>
      </c>
      <c r="G137" s="2" t="str">
        <f>"320682198905076324"</f>
        <v>320682198905076324</v>
      </c>
      <c r="H137" s="2" t="str">
        <f>"江苏如皋"</f>
        <v>江苏如皋</v>
      </c>
      <c r="I137" s="2" t="str">
        <f t="shared" si="69"/>
        <v>非应届生</v>
      </c>
      <c r="J137" s="2" t="str">
        <f t="shared" si="77"/>
        <v>无</v>
      </c>
      <c r="K137" s="2" t="str">
        <f>"2011.06"</f>
        <v>2011.06</v>
      </c>
      <c r="L137" s="2" t="str">
        <f t="shared" si="67"/>
        <v>学士</v>
      </c>
      <c r="M137" s="2" t="str">
        <f>"南京财经大学"</f>
        <v>南京财经大学</v>
      </c>
      <c r="N137" s="2" t="str">
        <f>"统计学"</f>
        <v>统计学</v>
      </c>
      <c r="O137" s="2" t="str">
        <f t="shared" si="50"/>
        <v>本科</v>
      </c>
      <c r="P137" s="2" t="str">
        <f>"167"</f>
        <v>167</v>
      </c>
      <c r="Q137" s="2" t="str">
        <f>"如皋市如城城管中队"</f>
        <v>如皋市如城城管中队</v>
      </c>
      <c r="R137" s="2" t="str">
        <f>"2011.08"</f>
        <v>2011.08</v>
      </c>
      <c r="S137" s="2" t="str">
        <f>"江苏省如皋市汇景名豪1B-1106室"</f>
        <v>江苏省如皋市汇景名豪1B-1106室</v>
      </c>
      <c r="T137" s="2" t="str">
        <f>"226500"</f>
        <v>226500</v>
      </c>
      <c r="U137" s="2" t="str">
        <f>"无"</f>
        <v>无</v>
      </c>
      <c r="V137" s="2" t="str">
        <f>"18252815566"</f>
        <v>18252815566</v>
      </c>
      <c r="W137" s="2" t="str">
        <f>"无"</f>
        <v>无</v>
      </c>
      <c r="X137" s="2" t="str">
        <f t="shared" si="74"/>
        <v>否</v>
      </c>
      <c r="Y137" s="2" t="str">
        <f>"英语四级"</f>
        <v>英语四级</v>
      </c>
      <c r="Z137" s="2" t="str">
        <f>"C语言二级"</f>
        <v>C语言二级</v>
      </c>
      <c r="AA137" s="2" t="str">
        <f>"丈夫|蔡浩|如皋市如城街道宗岱村|||||||||"</f>
        <v>丈夫|蔡浩|如皋市如城街道宗岱村|||||||||</v>
      </c>
      <c r="AB137" s="2" t="str">
        <f>"2004.09-2007.06 如皋市搬经中学 学生_x000D_
2007.09-2011.06 南京财经大学经济学院统计学专业 学生_x000D_
2011.08-2013.09 江苏格林机械有限公司 出纳_x000D_
2014.04至今 如皋市如城街道城管中队 队员"</f>
        <v>2004.09-2007.06 如皋市搬经中学 学生_x000D_
2007.09-2011.06 南京财经大学经济学院统计学专业 学生_x000D_
2011.08-2013.09 江苏格林机械有限公司 出纳_x000D_
2014.04至今 如皋市如城街道城管中队 队员</v>
      </c>
      <c r="AC137" s="2" t="str">
        <f>"统计类 工作两年以上"</f>
        <v>统计类 工作两年以上</v>
      </c>
      <c r="AD137" s="2" t="str">
        <f>""</f>
        <v/>
      </c>
      <c r="AE137" s="4">
        <v>43431.411516203705</v>
      </c>
      <c r="AF137" s="2">
        <v>1</v>
      </c>
      <c r="AG137" s="2">
        <v>1</v>
      </c>
      <c r="AH137" s="2">
        <v>2</v>
      </c>
      <c r="AI137" s="2" t="str">
        <f>"18002011004"</f>
        <v>18002011004</v>
      </c>
      <c r="AJ137" s="2">
        <v>10</v>
      </c>
      <c r="AK137" s="2">
        <v>4</v>
      </c>
      <c r="AL137" s="2" t="s">
        <v>119</v>
      </c>
      <c r="AM137" s="2" t="s">
        <v>120</v>
      </c>
      <c r="AN137" s="2">
        <v>1</v>
      </c>
      <c r="AO137" s="2">
        <v>286</v>
      </c>
      <c r="AP137" s="2" t="s">
        <v>46</v>
      </c>
      <c r="AQ137" s="2"/>
      <c r="AR137" s="2" t="s">
        <v>330</v>
      </c>
      <c r="AS137" s="3" t="s">
        <v>331</v>
      </c>
      <c r="AT137" s="2" t="s">
        <v>117</v>
      </c>
      <c r="AU137" s="2" t="s">
        <v>117</v>
      </c>
      <c r="AV137" s="7">
        <v>64.55</v>
      </c>
      <c r="AW137" s="2">
        <v>3</v>
      </c>
      <c r="AX137" s="2"/>
      <c r="AY137" s="2"/>
    </row>
    <row r="138" spans="1:51" ht="18.75" customHeight="1">
      <c r="A138" t="str">
        <f>"1002201811261151411378"</f>
        <v>1002201811261151411378</v>
      </c>
      <c r="B138" s="9">
        <v>136</v>
      </c>
      <c r="C138" s="2" t="s">
        <v>144</v>
      </c>
      <c r="D138" s="2" t="str">
        <f>"施姝婷"</f>
        <v>施姝婷</v>
      </c>
      <c r="E138" s="2" t="str">
        <f t="shared" ref="E138:E149" si="78">"女"</f>
        <v>女</v>
      </c>
      <c r="F138" s="2" t="str">
        <f>"1990-11-05"</f>
        <v>1990-11-05</v>
      </c>
      <c r="G138" s="2" t="str">
        <f>"320623199011050023"</f>
        <v>320623199011050023</v>
      </c>
      <c r="H138" s="2" t="str">
        <f>"南通施新城桥街道"</f>
        <v>南通施新城桥街道</v>
      </c>
      <c r="I138" s="2" t="str">
        <f t="shared" si="69"/>
        <v>非应届生</v>
      </c>
      <c r="J138" s="2" t="str">
        <f>"助理社会工作师"</f>
        <v>助理社会工作师</v>
      </c>
      <c r="K138" s="2" t="str">
        <f>"2013.05"</f>
        <v>2013.05</v>
      </c>
      <c r="L138" s="2" t="str">
        <f>"学士"</f>
        <v>学士</v>
      </c>
      <c r="M138" s="2" t="str">
        <f>"江苏大学"</f>
        <v>江苏大学</v>
      </c>
      <c r="N138" s="2" t="str">
        <f>"汉语言文学（涉外高级文秘）"</f>
        <v>汉语言文学（涉外高级文秘）</v>
      </c>
      <c r="O138" s="2" t="str">
        <f t="shared" si="50"/>
        <v>本科</v>
      </c>
      <c r="P138" s="2" t="str">
        <f>"167"</f>
        <v>167</v>
      </c>
      <c r="Q138" s="2" t="str">
        <f>"城东街道"</f>
        <v>城东街道</v>
      </c>
      <c r="R138" s="2" t="str">
        <f>"2013.05"</f>
        <v>2013.05</v>
      </c>
      <c r="S138" s="2" t="str">
        <f>"南通市崇川区工农路8号1幢206"</f>
        <v>南通市崇川区工农路8号1幢206</v>
      </c>
      <c r="T138" s="2" t="str">
        <f>"226000"</f>
        <v>226000</v>
      </c>
      <c r="U138" s="2" t="str">
        <f>"无"</f>
        <v>无</v>
      </c>
      <c r="V138" s="2" t="str">
        <f>"15051215657"</f>
        <v>15051215657</v>
      </c>
      <c r="W138" s="2" t="str">
        <f>"二级甲等"</f>
        <v>二级甲等</v>
      </c>
      <c r="X138" s="2" t="str">
        <f t="shared" si="74"/>
        <v>否</v>
      </c>
      <c r="Y138" s="2" t="str">
        <f>"英语6级"</f>
        <v>英语6级</v>
      </c>
      <c r="Z138" s="2" t="str">
        <f>"江苏省一级"</f>
        <v>江苏省一级</v>
      </c>
      <c r="AA138" s="2" t="str">
        <f>"丈夫|季亦龙|港闸区政府|女儿|季诗杺|学龄前儿童||||||"</f>
        <v>丈夫|季亦龙|港闸区政府|女儿|季诗杺|学龄前儿童||||||</v>
      </c>
      <c r="AB138" s="2" t="str">
        <f>"2006.9——2009.6 如东高级中学_x000D_
2009.9——2013.6 江苏大学_x000D_
2013.5——2013.12在南通拓维培训公司担任语文老师_x000D_
2014.2——2014.12 南通楼市杂志社_x000D_
2015.2——2015.11 同策广告担任文案和策划_x000D_
2015.11——至今   城东街道社干"</f>
        <v>2006.9——2009.6 如东高级中学_x000D_
2009.9——2013.6 江苏大学_x000D_
2013.5——2013.12在南通拓维培训公司担任语文老师_x000D_
2014.2——2014.12 南通楼市杂志社_x000D_
2015.2——2015.11 同策广告担任文案和策划_x000D_
2015.11——至今   城东街道社干</v>
      </c>
      <c r="AC138" s="2" t="str">
        <f>"在城东街道已工作满3年，获得2017年度城东街道先进个人_x000D_
2017年度崇川区优秀共青团员"</f>
        <v>在城东街道已工作满3年，获得2017年度城东街道先进个人_x000D_
2017年度崇川区优秀共青团员</v>
      </c>
      <c r="AD138" s="2" t="str">
        <f>""</f>
        <v/>
      </c>
      <c r="AE138" s="4">
        <v>43431.607499999998</v>
      </c>
      <c r="AF138" s="2">
        <v>1</v>
      </c>
      <c r="AG138" s="2">
        <v>1</v>
      </c>
      <c r="AH138" s="2">
        <v>1</v>
      </c>
      <c r="AI138" s="2" t="str">
        <f>"18002011213"</f>
        <v>18002011213</v>
      </c>
      <c r="AJ138" s="2">
        <v>12</v>
      </c>
      <c r="AK138" s="2">
        <v>13</v>
      </c>
      <c r="AL138" s="2" t="s">
        <v>119</v>
      </c>
      <c r="AM138" s="2" t="s">
        <v>120</v>
      </c>
      <c r="AN138" s="2">
        <v>1</v>
      </c>
      <c r="AO138" s="2">
        <v>9532</v>
      </c>
      <c r="AP138" s="2" t="s">
        <v>54</v>
      </c>
      <c r="AQ138" s="2"/>
      <c r="AR138" s="2" t="s">
        <v>330</v>
      </c>
      <c r="AS138" s="3" t="s">
        <v>331</v>
      </c>
      <c r="AT138" s="2" t="s">
        <v>117</v>
      </c>
      <c r="AU138" s="2" t="s">
        <v>117</v>
      </c>
      <c r="AV138" s="7">
        <v>76.75</v>
      </c>
      <c r="AW138" s="2">
        <v>1</v>
      </c>
      <c r="AX138" s="2"/>
      <c r="AY138" s="2"/>
    </row>
    <row r="139" spans="1:51" ht="18.75" customHeight="1">
      <c r="A139" t="str">
        <f>"1002201811261142381346"</f>
        <v>1002201811261142381346</v>
      </c>
      <c r="B139" s="9">
        <v>137</v>
      </c>
      <c r="C139" s="2" t="s">
        <v>144</v>
      </c>
      <c r="D139" s="2" t="str">
        <f>"许敏敏"</f>
        <v>许敏敏</v>
      </c>
      <c r="E139" s="2" t="str">
        <f t="shared" si="78"/>
        <v>女</v>
      </c>
      <c r="F139" s="2" t="str">
        <f>"1987-07-18"</f>
        <v>1987-07-18</v>
      </c>
      <c r="G139" s="2" t="str">
        <f>"320682198707181887"</f>
        <v>320682198707181887</v>
      </c>
      <c r="H139" s="2" t="str">
        <f>"如皋"</f>
        <v>如皋</v>
      </c>
      <c r="I139" s="2" t="str">
        <f t="shared" si="69"/>
        <v>非应届生</v>
      </c>
      <c r="J139" s="2" t="str">
        <f>"助理社会工作师"</f>
        <v>助理社会工作师</v>
      </c>
      <c r="K139" s="2" t="str">
        <f>"2008.06"</f>
        <v>2008.06</v>
      </c>
      <c r="L139" s="2" t="str">
        <f>"无"</f>
        <v>无</v>
      </c>
      <c r="M139" s="2" t="str">
        <f>"江苏广播电视大学"</f>
        <v>江苏广播电视大学</v>
      </c>
      <c r="N139" s="2" t="str">
        <f>"广播电视编导"</f>
        <v>广播电视编导</v>
      </c>
      <c r="O139" s="2" t="str">
        <f t="shared" ref="O139:O179" si="79">"本科"</f>
        <v>本科</v>
      </c>
      <c r="P139" s="2" t="str">
        <f>"163"</f>
        <v>163</v>
      </c>
      <c r="Q139" s="2" t="str">
        <f>"如皋市高新区（城南街道）管委会（编外）"</f>
        <v>如皋市高新区（城南街道）管委会（编外）</v>
      </c>
      <c r="R139" s="2" t="str">
        <f>"2008.07"</f>
        <v>2008.07</v>
      </c>
      <c r="S139" s="2" t="str">
        <f>"御龙湾4号1502"</f>
        <v>御龙湾4号1502</v>
      </c>
      <c r="T139" s="2" t="str">
        <f>"226500"</f>
        <v>226500</v>
      </c>
      <c r="U139" s="2" t="str">
        <f>"051387269326"</f>
        <v>051387269326</v>
      </c>
      <c r="V139" s="2" t="str">
        <f>"13773775516"</f>
        <v>13773775516</v>
      </c>
      <c r="W139" s="2" t="str">
        <f>"二级乙等"</f>
        <v>二级乙等</v>
      </c>
      <c r="X139" s="2" t="str">
        <f t="shared" si="74"/>
        <v>否</v>
      </c>
      <c r="Y139" s="2" t="str">
        <f>"一般"</f>
        <v>一般</v>
      </c>
      <c r="Z139" s="2" t="str">
        <f>"熟练"</f>
        <v>熟练</v>
      </c>
      <c r="AA139" s="2" t="str">
        <f>"配偶|黄海军|个体|女|黄诗涵|幼儿园学生|子|黄许诺|学龄前儿童|||"</f>
        <v>配偶|黄海军|个体|女|黄诗涵|幼儿园学生|子|黄许诺|学龄前儿童|||</v>
      </c>
      <c r="AB139" s="2" t="str">
        <f>"2001.09-2004.06 如皋石庄中学 学生_x000D_
2004.09-2008.06  江苏广播电视大学广播电视编导专业 学生_x000D_
2008.07-2010.03  上海天地行营销公司  职员_x000D_
2010.04-2010.07   待业_x000D_
2010.08-2016.01   高新区平明社区  妇代会主任、经管员_x000D_
2016.02至今      高新区管委会（编外）_x000D_
"</f>
        <v xml:space="preserve">2001.09-2004.06 如皋石庄中学 学生_x000D_
2004.09-2008.06  江苏广播电视大学广播电视编导专业 学生_x000D_
2008.07-2010.03  上海天地行营销公司  职员_x000D_
2010.04-2010.07   待业_x000D_
2010.08-2016.01   高新区平明社区  妇代会主任、经管员_x000D_
2016.02至今      高新区管委会（编外）_x000D_
</v>
      </c>
      <c r="AC139" s="2" t="str">
        <f>"具有2年及以上工作经历"</f>
        <v>具有2年及以上工作经历</v>
      </c>
      <c r="AD139" s="2" t="str">
        <f>""</f>
        <v/>
      </c>
      <c r="AE139" s="4">
        <v>43432.764097222222</v>
      </c>
      <c r="AF139" s="2">
        <v>1</v>
      </c>
      <c r="AG139" s="2">
        <v>1</v>
      </c>
      <c r="AH139" s="2">
        <v>1</v>
      </c>
      <c r="AI139" s="2" t="str">
        <f>"18002011129"</f>
        <v>18002011129</v>
      </c>
      <c r="AJ139" s="2">
        <v>11</v>
      </c>
      <c r="AK139" s="2">
        <v>29</v>
      </c>
      <c r="AL139" s="2" t="s">
        <v>119</v>
      </c>
      <c r="AM139" s="2" t="s">
        <v>120</v>
      </c>
      <c r="AN139" s="2">
        <v>1</v>
      </c>
      <c r="AO139" s="2">
        <v>7197</v>
      </c>
      <c r="AP139" s="2" t="s">
        <v>147</v>
      </c>
      <c r="AQ139" s="2"/>
      <c r="AR139" s="2" t="s">
        <v>330</v>
      </c>
      <c r="AS139" s="3" t="s">
        <v>331</v>
      </c>
      <c r="AT139" s="2" t="s">
        <v>117</v>
      </c>
      <c r="AU139" s="2" t="s">
        <v>117</v>
      </c>
      <c r="AV139" s="7">
        <v>70.900000000000006</v>
      </c>
      <c r="AW139" s="2">
        <v>2</v>
      </c>
      <c r="AX139" s="2"/>
      <c r="AY139" s="2"/>
    </row>
    <row r="140" spans="1:51" ht="18.75" customHeight="1">
      <c r="A140" t="str">
        <f>"1002201811291421095917"</f>
        <v>1002201811291421095917</v>
      </c>
      <c r="B140" s="9">
        <v>138</v>
      </c>
      <c r="C140" s="2" t="s">
        <v>144</v>
      </c>
      <c r="D140" s="2" t="str">
        <f>"汤雯涓"</f>
        <v>汤雯涓</v>
      </c>
      <c r="E140" s="2" t="str">
        <f t="shared" si="78"/>
        <v>女</v>
      </c>
      <c r="F140" s="2" t="str">
        <f>"1989-05-11"</f>
        <v>1989-05-11</v>
      </c>
      <c r="G140" s="2" t="str">
        <f>"320682198905112209"</f>
        <v>320682198905112209</v>
      </c>
      <c r="H140" s="2" t="str">
        <f>"江苏如皋"</f>
        <v>江苏如皋</v>
      </c>
      <c r="I140" s="2" t="str">
        <f t="shared" si="69"/>
        <v>非应届生</v>
      </c>
      <c r="J140" s="2" t="str">
        <f>"无"</f>
        <v>无</v>
      </c>
      <c r="K140" s="2" t="str">
        <f>"2012.06"</f>
        <v>2012.06</v>
      </c>
      <c r="L140" s="2" t="str">
        <f>"学士"</f>
        <v>学士</v>
      </c>
      <c r="M140" s="2" t="str">
        <f>"江苏师范大学科文学院"</f>
        <v>江苏师范大学科文学院</v>
      </c>
      <c r="N140" s="2" t="str">
        <f>"汉语言文学（高级文秘）"</f>
        <v>汉语言文学（高级文秘）</v>
      </c>
      <c r="O140" s="2" t="str">
        <f t="shared" si="79"/>
        <v>本科</v>
      </c>
      <c r="P140" s="2" t="str">
        <f>"163"</f>
        <v>163</v>
      </c>
      <c r="Q140" s="2" t="str">
        <f>"如皋市白蒲镇跃进社区居民委员会"</f>
        <v>如皋市白蒲镇跃进社区居民委员会</v>
      </c>
      <c r="R140" s="2" t="str">
        <f>"2012.07"</f>
        <v>2012.07</v>
      </c>
      <c r="S140" s="2" t="str">
        <f>"如皋市白蒲镇蒲盛路1号白蒲镇政府"</f>
        <v>如皋市白蒲镇蒲盛路1号白蒲镇政府</v>
      </c>
      <c r="T140" s="2" t="str">
        <f>"226511"</f>
        <v>226511</v>
      </c>
      <c r="U140" s="2" t="str">
        <f>"051388572806"</f>
        <v>051388572806</v>
      </c>
      <c r="V140" s="2" t="str">
        <f>"15262849158"</f>
        <v>15262849158</v>
      </c>
      <c r="W140" s="2" t="str">
        <f>"二级乙等"</f>
        <v>二级乙等</v>
      </c>
      <c r="X140" s="2" t="str">
        <f t="shared" si="74"/>
        <v>否</v>
      </c>
      <c r="Y140" s="2" t="str">
        <f>"大学英语四级"</f>
        <v>大学英语四级</v>
      </c>
      <c r="Z140" s="2" t="str">
        <f>"计算机一级B"</f>
        <v>计算机一级B</v>
      </c>
      <c r="AA140" s="2" t="str">
        <f>"父女|汤怡健|中国人寿保险股份有限公司如皋支公司客户经理|母女|刘锦培|退休||||||"</f>
        <v>父女|汤怡健|中国人寿保险股份有限公司如皋支公司客户经理|母女|刘锦培|退休||||||</v>
      </c>
      <c r="AB140" s="5" t="s">
        <v>145</v>
      </c>
      <c r="AC140" s="2" t="str">
        <f>"无"</f>
        <v>无</v>
      </c>
      <c r="AD140" s="2" t="str">
        <f>""</f>
        <v/>
      </c>
      <c r="AE140" s="4">
        <v>43433.726111111115</v>
      </c>
      <c r="AF140" s="2">
        <v>1</v>
      </c>
      <c r="AG140" s="2">
        <v>1</v>
      </c>
      <c r="AH140" s="2">
        <v>2</v>
      </c>
      <c r="AI140" s="2" t="str">
        <f>"18002011030"</f>
        <v>18002011030</v>
      </c>
      <c r="AJ140" s="2">
        <v>10</v>
      </c>
      <c r="AK140" s="2">
        <v>30</v>
      </c>
      <c r="AL140" s="2" t="s">
        <v>119</v>
      </c>
      <c r="AM140" s="2" t="s">
        <v>120</v>
      </c>
      <c r="AN140" s="2">
        <v>1</v>
      </c>
      <c r="AO140" s="2">
        <v>1343</v>
      </c>
      <c r="AP140" s="2" t="s">
        <v>146</v>
      </c>
      <c r="AQ140" s="2"/>
      <c r="AR140" s="2" t="s">
        <v>330</v>
      </c>
      <c r="AS140" s="3" t="s">
        <v>331</v>
      </c>
      <c r="AT140" s="2" t="s">
        <v>117</v>
      </c>
      <c r="AU140" s="2" t="s">
        <v>117</v>
      </c>
      <c r="AV140" s="7">
        <v>69.95</v>
      </c>
      <c r="AW140" s="2">
        <v>3</v>
      </c>
      <c r="AX140" s="2"/>
      <c r="AY140" s="2"/>
    </row>
    <row r="141" spans="1:51" ht="18.75" customHeight="1">
      <c r="A141" t="str">
        <f>"1002201811261138471335"</f>
        <v>1002201811261138471335</v>
      </c>
      <c r="B141" s="9">
        <v>139</v>
      </c>
      <c r="C141" s="2" t="s">
        <v>148</v>
      </c>
      <c r="D141" s="2" t="str">
        <f>"杨秋瑾"</f>
        <v>杨秋瑾</v>
      </c>
      <c r="E141" s="2" t="str">
        <f t="shared" si="78"/>
        <v>女</v>
      </c>
      <c r="F141" s="2" t="str">
        <f>"1995-10-07"</f>
        <v>1995-10-07</v>
      </c>
      <c r="G141" s="2" t="str">
        <f>"320682199510076623"</f>
        <v>320682199510076623</v>
      </c>
      <c r="H141" s="2" t="str">
        <f>"江苏省南通市如皋市搬经镇加马居4组26号"</f>
        <v>江苏省南通市如皋市搬经镇加马居4组26号</v>
      </c>
      <c r="I141" s="2" t="str">
        <f>"应届生"</f>
        <v>应届生</v>
      </c>
      <c r="J141" s="2" t="str">
        <f>"无"</f>
        <v>无</v>
      </c>
      <c r="K141" s="2" t="str">
        <f>"2018.06"</f>
        <v>2018.06</v>
      </c>
      <c r="L141" s="2" t="str">
        <f t="shared" ref="L141:L146" si="80">"学士"</f>
        <v>学士</v>
      </c>
      <c r="M141" s="2" t="str">
        <f>"南京理工大学紫金学院"</f>
        <v>南京理工大学紫金学院</v>
      </c>
      <c r="N141" s="2" t="str">
        <f>"金融学"</f>
        <v>金融学</v>
      </c>
      <c r="O141" s="2" t="str">
        <f t="shared" si="79"/>
        <v>本科</v>
      </c>
      <c r="P141" s="2" t="str">
        <f>"165"</f>
        <v>165</v>
      </c>
      <c r="Q141" s="2" t="str">
        <f>"无"</f>
        <v>无</v>
      </c>
      <c r="R141" s="2" t="str">
        <f>"无"</f>
        <v>无</v>
      </c>
      <c r="S141" s="2" t="str">
        <f>"江苏省南通市如皋市搬经镇加马居4组26号"</f>
        <v>江苏省南通市如皋市搬经镇加马居4组26号</v>
      </c>
      <c r="T141" s="2" t="str">
        <f>"226500"</f>
        <v>226500</v>
      </c>
      <c r="U141" s="2" t="str">
        <f>"无"</f>
        <v>无</v>
      </c>
      <c r="V141" s="2" t="str">
        <f>"18862762106"</f>
        <v>18862762106</v>
      </c>
      <c r="W141" s="2" t="str">
        <f>"二级乙"</f>
        <v>二级乙</v>
      </c>
      <c r="X141" s="2" t="str">
        <f t="shared" si="74"/>
        <v>否</v>
      </c>
      <c r="Y141" s="2" t="str">
        <f>"英语六级"</f>
        <v>英语六级</v>
      </c>
      <c r="Z141" s="2" t="str">
        <f>"全国计算机二级"</f>
        <v>全国计算机二级</v>
      </c>
      <c r="AA141" s="2" t="str">
        <f>"父亲|杨伯友|搬经镇兽医站|母亲|杨小莲|加力丹瑞服饰有限公司|爷爷|杨正益|退休|奶奶|谢美芳|无"</f>
        <v>父亲|杨伯友|搬经镇兽医站|母亲|杨小莲|加力丹瑞服饰有限公司|爷爷|杨正益|退休|奶奶|谢美芳|无</v>
      </c>
      <c r="AB141" s="2" t="str">
        <f>"2011.09-2014.06 搬经中学 学生_x000D_
2014.09-2018.06 南京理工大学紫金学院经济学院金融学专业 学生_x000D_
2018.07至今 无"</f>
        <v>2011.09-2014.06 搬经中学 学生_x000D_
2014.09-2018.06 南京理工大学紫金学院经济学院金融学专业 学生_x000D_
2018.07至今 无</v>
      </c>
      <c r="AC141" s="2" t="str">
        <f t="shared" ref="AC141:AC143" si="81">"无"</f>
        <v>无</v>
      </c>
      <c r="AD141" s="2" t="str">
        <f>""</f>
        <v/>
      </c>
      <c r="AE141" s="4">
        <v>43431.763414351852</v>
      </c>
      <c r="AF141" s="2">
        <v>1</v>
      </c>
      <c r="AG141" s="2">
        <v>1</v>
      </c>
      <c r="AH141" s="2">
        <v>1</v>
      </c>
      <c r="AI141" s="2" t="str">
        <f>"18002011606"</f>
        <v>18002011606</v>
      </c>
      <c r="AJ141" s="2">
        <v>16</v>
      </c>
      <c r="AK141" s="2">
        <v>6</v>
      </c>
      <c r="AL141" s="2" t="s">
        <v>119</v>
      </c>
      <c r="AM141" s="2" t="s">
        <v>120</v>
      </c>
      <c r="AN141" s="2">
        <v>1</v>
      </c>
      <c r="AO141" s="2">
        <v>8825</v>
      </c>
      <c r="AP141" s="2" t="s">
        <v>153</v>
      </c>
      <c r="AQ141" s="2"/>
      <c r="AR141" s="2" t="s">
        <v>330</v>
      </c>
      <c r="AS141" s="3" t="s">
        <v>331</v>
      </c>
      <c r="AT141" s="2" t="s">
        <v>117</v>
      </c>
      <c r="AU141" s="2" t="s">
        <v>117</v>
      </c>
      <c r="AV141" s="7">
        <v>72.25</v>
      </c>
      <c r="AW141" s="2">
        <v>1</v>
      </c>
      <c r="AX141" s="2"/>
      <c r="AY141" s="2"/>
    </row>
    <row r="142" spans="1:51" ht="18.75" customHeight="1">
      <c r="A142" t="str">
        <f>"1002201811282135125347"</f>
        <v>1002201811282135125347</v>
      </c>
      <c r="B142" s="9">
        <v>140</v>
      </c>
      <c r="C142" s="2" t="s">
        <v>148</v>
      </c>
      <c r="D142" s="2" t="str">
        <f>"王丹颖"</f>
        <v>王丹颖</v>
      </c>
      <c r="E142" s="2" t="str">
        <f t="shared" si="78"/>
        <v>女</v>
      </c>
      <c r="F142" s="2" t="str">
        <f>"1995-10-07"</f>
        <v>1995-10-07</v>
      </c>
      <c r="G142" s="2" t="str">
        <f>"320621199510078140"</f>
        <v>320621199510078140</v>
      </c>
      <c r="H142" s="2" t="str">
        <f>"江苏省海安县"</f>
        <v>江苏省海安县</v>
      </c>
      <c r="I142" s="2" t="str">
        <f>"非应届生"</f>
        <v>非应届生</v>
      </c>
      <c r="J142" s="2" t="str">
        <f>"会计从业资格证"</f>
        <v>会计从业资格证</v>
      </c>
      <c r="K142" s="2" t="str">
        <f>"2018.06"</f>
        <v>2018.06</v>
      </c>
      <c r="L142" s="2" t="str">
        <f t="shared" si="80"/>
        <v>学士</v>
      </c>
      <c r="M142" s="2" t="str">
        <f>"南京信息工程大学滨江学院"</f>
        <v>南京信息工程大学滨江学院</v>
      </c>
      <c r="N142" s="2" t="str">
        <f>"财务管理"</f>
        <v>财务管理</v>
      </c>
      <c r="O142" s="2" t="str">
        <f t="shared" si="79"/>
        <v>本科</v>
      </c>
      <c r="P142" s="2" t="str">
        <f>"161"</f>
        <v>161</v>
      </c>
      <c r="Q142" s="2" t="str">
        <f>"无"</f>
        <v>无</v>
      </c>
      <c r="R142" s="2" t="str">
        <f>"无"</f>
        <v>无</v>
      </c>
      <c r="S142" s="2" t="str">
        <f>"江苏省海安县墩头镇毛庄村25组22号"</f>
        <v>江苏省海安县墩头镇毛庄村25组22号</v>
      </c>
      <c r="T142" s="2" t="str">
        <f>"226600"</f>
        <v>226600</v>
      </c>
      <c r="U142" s="2" t="str">
        <f>"0513-88462123"</f>
        <v>0513-88462123</v>
      </c>
      <c r="V142" s="2" t="str">
        <f>"15251703528"</f>
        <v>15251703528</v>
      </c>
      <c r="W142" s="2" t="str">
        <f>"无"</f>
        <v>无</v>
      </c>
      <c r="X142" s="2" t="str">
        <f t="shared" si="74"/>
        <v>否</v>
      </c>
      <c r="Y142" s="2" t="str">
        <f>"英语六级"</f>
        <v>英语六级</v>
      </c>
      <c r="Z142" s="2" t="str">
        <f>"全国计算机二级"</f>
        <v>全国计算机二级</v>
      </c>
      <c r="AA142" s="2" t="str">
        <f>"父亲|王益峰|新疆|母亲|徐荣萍|江苏华艺集团||||||"</f>
        <v>父亲|王益峰|新疆|母亲|徐荣萍|江苏华艺集团||||||</v>
      </c>
      <c r="AB142" s="2" t="str">
        <f>"2011.09-2014.06 江苏海安立发中学 学生_x000D_
2014.09-2018.06 南京信息工程大学滨江学院财务管理专业 学生"</f>
        <v>2011.09-2014.06 江苏海安立发中学 学生_x000D_
2014.09-2018.06 南京信息工程大学滨江学院财务管理专业 学生</v>
      </c>
      <c r="AC142" s="2" t="str">
        <f t="shared" si="81"/>
        <v>无</v>
      </c>
      <c r="AD142" s="2" t="str">
        <f>"无"</f>
        <v>无</v>
      </c>
      <c r="AE142" s="4">
        <v>43433.493645833332</v>
      </c>
      <c r="AF142" s="2">
        <v>1</v>
      </c>
      <c r="AG142" s="2">
        <v>1</v>
      </c>
      <c r="AH142" s="2">
        <v>3</v>
      </c>
      <c r="AI142" s="2" t="str">
        <f>"18002011513"</f>
        <v>18002011513</v>
      </c>
      <c r="AJ142" s="2">
        <v>15</v>
      </c>
      <c r="AK142" s="2">
        <v>13</v>
      </c>
      <c r="AL142" s="2" t="s">
        <v>119</v>
      </c>
      <c r="AM142" s="2" t="s">
        <v>120</v>
      </c>
      <c r="AN142" s="2">
        <v>1</v>
      </c>
      <c r="AO142" s="2">
        <v>7575</v>
      </c>
      <c r="AP142" s="2" t="s">
        <v>152</v>
      </c>
      <c r="AQ142" s="2"/>
      <c r="AR142" s="2" t="s">
        <v>330</v>
      </c>
      <c r="AS142" s="3" t="s">
        <v>331</v>
      </c>
      <c r="AT142" s="2" t="s">
        <v>117</v>
      </c>
      <c r="AU142" s="2" t="s">
        <v>117</v>
      </c>
      <c r="AV142" s="7">
        <v>71.45</v>
      </c>
      <c r="AW142" s="2">
        <v>2</v>
      </c>
      <c r="AX142" s="2"/>
      <c r="AY142" s="2"/>
    </row>
    <row r="143" spans="1:51" ht="18.75" customHeight="1">
      <c r="A143" t="str">
        <f>"1002201811281150384727"</f>
        <v>1002201811281150384727</v>
      </c>
      <c r="B143" s="9">
        <v>141</v>
      </c>
      <c r="C143" s="2" t="s">
        <v>148</v>
      </c>
      <c r="D143" s="2" t="str">
        <f>"陈麒蓉"</f>
        <v>陈麒蓉</v>
      </c>
      <c r="E143" s="2" t="str">
        <f t="shared" si="78"/>
        <v>女</v>
      </c>
      <c r="F143" s="2" t="str">
        <f>"1993-06-09"</f>
        <v>1993-06-09</v>
      </c>
      <c r="G143" s="2" t="str">
        <f>"320684199306096662"</f>
        <v>320684199306096662</v>
      </c>
      <c r="H143" s="2" t="str">
        <f>"南通海门"</f>
        <v>南通海门</v>
      </c>
      <c r="I143" s="2" t="str">
        <f>"非应届生"</f>
        <v>非应届生</v>
      </c>
      <c r="J143" s="2" t="str">
        <f>"无"</f>
        <v>无</v>
      </c>
      <c r="K143" s="2" t="str">
        <f>"2016.6"</f>
        <v>2016.6</v>
      </c>
      <c r="L143" s="2" t="str">
        <f t="shared" si="80"/>
        <v>学士</v>
      </c>
      <c r="M143" s="2" t="str">
        <f>"盐城工学院"</f>
        <v>盐城工学院</v>
      </c>
      <c r="N143" s="2" t="str">
        <f>"会计学"</f>
        <v>会计学</v>
      </c>
      <c r="O143" s="2" t="str">
        <f t="shared" si="79"/>
        <v>本科</v>
      </c>
      <c r="P143" s="2" t="str">
        <f>"165"</f>
        <v>165</v>
      </c>
      <c r="Q143" s="2" t="str">
        <f>"南通市海门市包场镇人民政府包场民政办（非编）"</f>
        <v>南通市海门市包场镇人民政府包场民政办（非编）</v>
      </c>
      <c r="R143" s="2" t="str">
        <f>"2017.9"</f>
        <v>2017.9</v>
      </c>
      <c r="S143" s="2" t="str">
        <f>"江苏省南通市海门市包场办事处为民路11号"</f>
        <v>江苏省南通市海门市包场办事处为民路11号</v>
      </c>
      <c r="T143" s="2" t="str">
        <f>"226100"</f>
        <v>226100</v>
      </c>
      <c r="U143" s="2" t="str">
        <f>"0513-68905370"</f>
        <v>0513-68905370</v>
      </c>
      <c r="V143" s="2" t="str">
        <f>"13962736120"</f>
        <v>13962736120</v>
      </c>
      <c r="W143" s="2" t="str">
        <f>"无"</f>
        <v>无</v>
      </c>
      <c r="X143" s="2" t="str">
        <f t="shared" si="74"/>
        <v>否</v>
      </c>
      <c r="Y143" s="2" t="str">
        <f>"大学英语6级"</f>
        <v>大学英语6级</v>
      </c>
      <c r="Z143" s="2" t="str">
        <f>"全国计算机二级"</f>
        <v>全国计算机二级</v>
      </c>
      <c r="AA143" s="2" t="str">
        <f>"父亲|陈云|南通迈斯特重工|母亲|王淑芳|南通迈斯特重工||||||"</f>
        <v>父亲|陈云|南通迈斯特重工|母亲|王淑芳|南通迈斯特重工||||||</v>
      </c>
      <c r="AB143" s="2" t="str">
        <f>"2009.9-2012.6 江苏省包场高级中学 学生_x000D_
2012.9-2016.6 盐城工学院管理学院会计学专业 学生_x000D_
2016.7-2017.8 待业_x000D_
2017.9-至今 海门市包场民政办（非编）"</f>
        <v>2009.9-2012.6 江苏省包场高级中学 学生_x000D_
2012.9-2016.6 盐城工学院管理学院会计学专业 学生_x000D_
2016.7-2017.8 待业_x000D_
2017.9-至今 海门市包场民政办（非编）</v>
      </c>
      <c r="AC143" s="2" t="str">
        <f t="shared" si="81"/>
        <v>无</v>
      </c>
      <c r="AD143" s="2" t="str">
        <f>"无"</f>
        <v>无</v>
      </c>
      <c r="AE143" s="4">
        <v>43433.491724537038</v>
      </c>
      <c r="AF143" s="2">
        <v>1</v>
      </c>
      <c r="AG143" s="2">
        <v>1</v>
      </c>
      <c r="AH143" s="2">
        <v>1</v>
      </c>
      <c r="AI143" s="2" t="str">
        <f>"18002011426"</f>
        <v>18002011426</v>
      </c>
      <c r="AJ143" s="2">
        <v>14</v>
      </c>
      <c r="AK143" s="2">
        <v>26</v>
      </c>
      <c r="AL143" s="2" t="s">
        <v>119</v>
      </c>
      <c r="AM143" s="2" t="s">
        <v>120</v>
      </c>
      <c r="AN143" s="2">
        <v>1</v>
      </c>
      <c r="AO143" s="2">
        <v>5938</v>
      </c>
      <c r="AP143" s="2" t="s">
        <v>151</v>
      </c>
      <c r="AQ143" s="2"/>
      <c r="AR143" s="2" t="s">
        <v>330</v>
      </c>
      <c r="AS143" s="3" t="s">
        <v>331</v>
      </c>
      <c r="AT143" s="2" t="s">
        <v>117</v>
      </c>
      <c r="AU143" s="2" t="s">
        <v>117</v>
      </c>
      <c r="AV143" s="7">
        <v>71.25</v>
      </c>
      <c r="AW143" s="2">
        <v>3</v>
      </c>
      <c r="AX143" s="2"/>
      <c r="AY143" s="2"/>
    </row>
    <row r="144" spans="1:51" ht="18.75" customHeight="1">
      <c r="A144" t="str">
        <f>"1002201811271205233576"</f>
        <v>1002201811271205233576</v>
      </c>
      <c r="B144" s="9">
        <v>142</v>
      </c>
      <c r="C144" s="2" t="s">
        <v>154</v>
      </c>
      <c r="D144" s="2" t="str">
        <f>"郁琳君"</f>
        <v>郁琳君</v>
      </c>
      <c r="E144" s="2" t="str">
        <f t="shared" si="78"/>
        <v>女</v>
      </c>
      <c r="F144" s="2" t="str">
        <f>"1991-09-01"</f>
        <v>1991-09-01</v>
      </c>
      <c r="G144" s="2" t="str">
        <f>"320683199109014326"</f>
        <v>320683199109014326</v>
      </c>
      <c r="H144" s="2" t="str">
        <f>"江苏省南通市通州区兴仁镇阚庵东村21组"</f>
        <v>江苏省南通市通州区兴仁镇阚庵东村21组</v>
      </c>
      <c r="I144" s="2" t="str">
        <f t="shared" ref="I144:I152" si="82">"非应届生"</f>
        <v>非应届生</v>
      </c>
      <c r="J144" s="2" t="str">
        <f>"无"</f>
        <v>无</v>
      </c>
      <c r="K144" s="2" t="str">
        <f>"2013.07"</f>
        <v>2013.07</v>
      </c>
      <c r="L144" s="2" t="str">
        <f t="shared" si="80"/>
        <v>学士</v>
      </c>
      <c r="M144" s="2" t="str">
        <f>"南通大学杏林学院"</f>
        <v>南通大学杏林学院</v>
      </c>
      <c r="N144" s="2" t="str">
        <f>"国际经济与贸易"</f>
        <v>国际经济与贸易</v>
      </c>
      <c r="O144" s="2" t="str">
        <f t="shared" si="79"/>
        <v>本科</v>
      </c>
      <c r="P144" s="2" t="str">
        <f>"162"</f>
        <v>162</v>
      </c>
      <c r="Q144" s="2" t="str">
        <f>"南通市通州区兴仁镇阚庵东村村委会"</f>
        <v>南通市通州区兴仁镇阚庵东村村委会</v>
      </c>
      <c r="R144" s="2" t="str">
        <f>"2013.07"</f>
        <v>2013.07</v>
      </c>
      <c r="S144" s="2" t="str">
        <f>"江苏省南通市通州区兴仁镇阚庵东村21组"</f>
        <v>江苏省南通市通州区兴仁镇阚庵东村21组</v>
      </c>
      <c r="T144" s="2" t="str">
        <f>"226352"</f>
        <v>226352</v>
      </c>
      <c r="U144" s="2" t="str">
        <f>"86213072"</f>
        <v>86213072</v>
      </c>
      <c r="V144" s="2" t="str">
        <f>"18921674665"</f>
        <v>18921674665</v>
      </c>
      <c r="W144" s="2" t="str">
        <f t="shared" ref="W144:W146" si="83">"无"</f>
        <v>无</v>
      </c>
      <c r="X144" s="2" t="str">
        <f t="shared" si="74"/>
        <v>否</v>
      </c>
      <c r="Y144" s="2" t="str">
        <f>"英语四级"</f>
        <v>英语四级</v>
      </c>
      <c r="Z144" s="2" t="str">
        <f>"江苏省计算机二级"</f>
        <v>江苏省计算机二级</v>
      </c>
      <c r="AA144" s="2" t="str">
        <f>"父亲|郁金华|河南省周口市太康县广丰制衣有限有限公司|母亲|倪淑美| 南通双丰纺织服装有限公司|配偶|高钦清|崇川区科技局|||"</f>
        <v>父亲|郁金华|河南省周口市太康县广丰制衣有限有限公司|母亲|倪淑美| 南通双丰纺织服装有限公司|配偶|高钦清|崇川区科技局|||</v>
      </c>
      <c r="AB144" s="2" t="str">
        <f>"2006年9月-2009年6月 江苏省西亭高级中学_x000D_
2009年9月-2013年6月 南通大学杏林学院_x000D_
2013年6月-2016年4月 南通双丰纺织服装有限公司 外贸业务员_x000D_
2016年4月—至今 通州区兴仁镇阚庵东村村委会"</f>
        <v>2006年9月-2009年6月 江苏省西亭高级中学_x000D_
2009年9月-2013年6月 南通大学杏林学院_x000D_
2013年6月-2016年4月 南通双丰纺织服装有限公司 外贸业务员_x000D_
2016年4月—至今 通州区兴仁镇阚庵东村村委会</v>
      </c>
      <c r="AC144" s="2" t="str">
        <f>"有两年以上工作经验"</f>
        <v>有两年以上工作经验</v>
      </c>
      <c r="AD144" s="2" t="str">
        <f>""</f>
        <v/>
      </c>
      <c r="AE144" s="4">
        <v>43433.438622685186</v>
      </c>
      <c r="AF144" s="2">
        <v>1</v>
      </c>
      <c r="AG144" s="2">
        <v>1</v>
      </c>
      <c r="AH144" s="2">
        <v>2</v>
      </c>
      <c r="AI144" s="2" t="str">
        <f>"18002011810"</f>
        <v>18002011810</v>
      </c>
      <c r="AJ144" s="2">
        <v>18</v>
      </c>
      <c r="AK144" s="2">
        <v>10</v>
      </c>
      <c r="AL144" s="2" t="s">
        <v>119</v>
      </c>
      <c r="AM144" s="2" t="s">
        <v>120</v>
      </c>
      <c r="AN144" s="2">
        <v>1</v>
      </c>
      <c r="AO144" s="2">
        <v>4895</v>
      </c>
      <c r="AP144" s="2" t="s">
        <v>158</v>
      </c>
      <c r="AQ144" s="2"/>
      <c r="AR144" s="2" t="s">
        <v>330</v>
      </c>
      <c r="AS144" s="3" t="s">
        <v>331</v>
      </c>
      <c r="AT144" s="2" t="s">
        <v>117</v>
      </c>
      <c r="AU144" s="2" t="s">
        <v>117</v>
      </c>
      <c r="AV144" s="7">
        <v>70.95</v>
      </c>
      <c r="AW144" s="2">
        <v>1</v>
      </c>
      <c r="AX144" s="2"/>
      <c r="AY144" s="2"/>
    </row>
    <row r="145" spans="1:51" ht="18.75" customHeight="1">
      <c r="A145" t="str">
        <f>"1002201811271940204156"</f>
        <v>1002201811271940204156</v>
      </c>
      <c r="B145" s="9">
        <v>143</v>
      </c>
      <c r="C145" s="2" t="s">
        <v>154</v>
      </c>
      <c r="D145" s="2" t="str">
        <f>"龚炯"</f>
        <v>龚炯</v>
      </c>
      <c r="E145" s="2" t="str">
        <f t="shared" si="78"/>
        <v>女</v>
      </c>
      <c r="F145" s="2" t="str">
        <f>"1988-09-01"</f>
        <v>1988-09-01</v>
      </c>
      <c r="G145" s="2" t="str">
        <f>"320684198809018725"</f>
        <v>320684198809018725</v>
      </c>
      <c r="H145" s="2" t="str">
        <f>"海门"</f>
        <v>海门</v>
      </c>
      <c r="I145" s="2" t="str">
        <f t="shared" si="82"/>
        <v>非应届生</v>
      </c>
      <c r="J145" s="2" t="str">
        <f>"无"</f>
        <v>无</v>
      </c>
      <c r="K145" s="2" t="str">
        <f>"2012.07"</f>
        <v>2012.07</v>
      </c>
      <c r="L145" s="2" t="str">
        <f t="shared" si="80"/>
        <v>学士</v>
      </c>
      <c r="M145" s="2" t="str">
        <f>"南京师范大学泰州学院"</f>
        <v>南京师范大学泰州学院</v>
      </c>
      <c r="N145" s="2" t="str">
        <f>"工商管理"</f>
        <v>工商管理</v>
      </c>
      <c r="O145" s="2" t="str">
        <f t="shared" si="79"/>
        <v>本科</v>
      </c>
      <c r="P145" s="2" t="str">
        <f>"168"</f>
        <v>168</v>
      </c>
      <c r="Q145" s="2" t="str">
        <f>"南通市公车服务中心"</f>
        <v>南通市公车服务中心</v>
      </c>
      <c r="R145" s="2" t="str">
        <f>"2012.05"</f>
        <v>2012.05</v>
      </c>
      <c r="S145" s="2" t="str">
        <f>"南通市崇川区吴中豪景华庭1-2203"</f>
        <v>南通市崇川区吴中豪景华庭1-2203</v>
      </c>
      <c r="T145" s="2" t="str">
        <f>"226000"</f>
        <v>226000</v>
      </c>
      <c r="U145" s="2" t="str">
        <f>"0513-82209113"</f>
        <v>0513-82209113</v>
      </c>
      <c r="V145" s="2" t="str">
        <f>"15851239173"</f>
        <v>15851239173</v>
      </c>
      <c r="W145" s="2" t="str">
        <f t="shared" si="83"/>
        <v>无</v>
      </c>
      <c r="X145" s="2" t="str">
        <f t="shared" si="74"/>
        <v>否</v>
      </c>
      <c r="Y145" s="2" t="str">
        <f>"大学英语四级"</f>
        <v>大学英语四级</v>
      </c>
      <c r="Z145" s="2" t="str">
        <f>"全国计算机一级"</f>
        <v>全国计算机一级</v>
      </c>
      <c r="AA145" s="2" t="str">
        <f>"父亲|龚惠康|退休|母亲|沈洪英|退休|镇典|丈夫|南通市经济技术开发区综合执法局|||"</f>
        <v>父亲|龚惠康|退休|母亲|沈洪英|退休|镇典|丈夫|南通市经济技术开发区综合执法局|||</v>
      </c>
      <c r="AB145" s="2" t="str">
        <f>"2007.09-2010.07 金山学院会计电算化专业 学生_x000D_
2010.09-2012.07 南京师范大学泰州学院工商管理专业 学生_x000D_
2012.05-2015.11 海门市市场监督管理局 内勤_x000D_
2015.12-2017.09 南通市崇川区城东街道 社区干部_x000D_
2018.09-至今 南通市公车服务中心 调度_x000D_
"</f>
        <v xml:space="preserve">2007.09-2010.07 金山学院会计电算化专业 学生_x000D_
2010.09-2012.07 南京师范大学泰州学院工商管理专业 学生_x000D_
2012.05-2015.11 海门市市场监督管理局 内勤_x000D_
2015.12-2017.09 南通市崇川区城东街道 社区干部_x000D_
2018.09-至今 南通市公车服务中心 调度_x000D_
</v>
      </c>
      <c r="AC145" s="2" t="str">
        <f>"无"</f>
        <v>无</v>
      </c>
      <c r="AD145" s="2" t="str">
        <f>""</f>
        <v/>
      </c>
      <c r="AE145" s="4">
        <v>43433.437326388892</v>
      </c>
      <c r="AF145" s="2">
        <v>1</v>
      </c>
      <c r="AG145" s="2">
        <v>1</v>
      </c>
      <c r="AH145" s="2">
        <v>3</v>
      </c>
      <c r="AI145" s="2" t="str">
        <f>"18002011628"</f>
        <v>18002011628</v>
      </c>
      <c r="AJ145" s="2">
        <v>16</v>
      </c>
      <c r="AK145" s="2">
        <v>28</v>
      </c>
      <c r="AL145" s="2" t="s">
        <v>119</v>
      </c>
      <c r="AM145" s="2" t="s">
        <v>120</v>
      </c>
      <c r="AN145" s="2">
        <v>1</v>
      </c>
      <c r="AO145" s="2">
        <v>79</v>
      </c>
      <c r="AP145" s="2" t="s">
        <v>155</v>
      </c>
      <c r="AQ145" s="2"/>
      <c r="AR145" s="2" t="s">
        <v>330</v>
      </c>
      <c r="AS145" s="3" t="s">
        <v>331</v>
      </c>
      <c r="AT145" s="2" t="s">
        <v>117</v>
      </c>
      <c r="AU145" s="2" t="s">
        <v>117</v>
      </c>
      <c r="AV145" s="7">
        <v>70.75</v>
      </c>
      <c r="AW145" s="2">
        <v>2</v>
      </c>
      <c r="AX145" s="2"/>
      <c r="AY145" s="2"/>
    </row>
    <row r="146" spans="1:51" ht="18.75" customHeight="1">
      <c r="A146" t="str">
        <f>"1002201811291949396288"</f>
        <v>1002201811291949396288</v>
      </c>
      <c r="B146" s="9">
        <v>144</v>
      </c>
      <c r="C146" s="2" t="s">
        <v>154</v>
      </c>
      <c r="D146" s="2" t="str">
        <f>"石映"</f>
        <v>石映</v>
      </c>
      <c r="E146" s="2" t="str">
        <f t="shared" si="78"/>
        <v>女</v>
      </c>
      <c r="F146" s="2" t="str">
        <f>"1995-08-28"</f>
        <v>1995-08-28</v>
      </c>
      <c r="G146" s="2" t="str">
        <f>"320682199508285020"</f>
        <v>320682199508285020</v>
      </c>
      <c r="H146" s="2" t="str">
        <f>"江苏省南通市如皋市石庄镇草张庄村"</f>
        <v>江苏省南通市如皋市石庄镇草张庄村</v>
      </c>
      <c r="I146" s="2" t="str">
        <f t="shared" si="82"/>
        <v>非应届生</v>
      </c>
      <c r="J146" s="2" t="str">
        <f>"无"</f>
        <v>无</v>
      </c>
      <c r="K146" s="2" t="str">
        <f>"2016.06.20"</f>
        <v>2016.06.20</v>
      </c>
      <c r="L146" s="2" t="str">
        <f t="shared" si="80"/>
        <v>学士</v>
      </c>
      <c r="M146" s="2" t="str">
        <f>"江苏大学"</f>
        <v>江苏大学</v>
      </c>
      <c r="N146" s="2" t="str">
        <f>"国际经济与贸易"</f>
        <v>国际经济与贸易</v>
      </c>
      <c r="O146" s="2" t="str">
        <f t="shared" si="79"/>
        <v>本科</v>
      </c>
      <c r="P146" s="2" t="str">
        <f>"160"</f>
        <v>160</v>
      </c>
      <c r="Q146" s="2" t="str">
        <f>"如皋市石庄镇邹蔡村村委会"</f>
        <v>如皋市石庄镇邹蔡村村委会</v>
      </c>
      <c r="R146" s="2" t="str">
        <f>"2016.8.12"</f>
        <v>2016.8.12</v>
      </c>
      <c r="S146" s="2" t="str">
        <f>"江苏省南通市如皋市石庄镇草张庄村"</f>
        <v>江苏省南通市如皋市石庄镇草张庄村</v>
      </c>
      <c r="T146" s="2" t="str">
        <f>"226500"</f>
        <v>226500</v>
      </c>
      <c r="U146" s="2" t="str">
        <f>"无"</f>
        <v>无</v>
      </c>
      <c r="V146" s="2" t="str">
        <f>"18862762597"</f>
        <v>18862762597</v>
      </c>
      <c r="W146" s="2" t="str">
        <f t="shared" si="83"/>
        <v>无</v>
      </c>
      <c r="X146" s="2" t="str">
        <f t="shared" si="74"/>
        <v>否</v>
      </c>
      <c r="Y146" s="2" t="str">
        <f>"CET-6"</f>
        <v>CET-6</v>
      </c>
      <c r="Z146" s="2" t="str">
        <f>"熟练"</f>
        <v>熟练</v>
      </c>
      <c r="AA146" s="2" t="str">
        <f>"父亲|石朗坤|农民工|母亲|黄细红|农民工||||||"</f>
        <v>父亲|石朗坤|农民工|母亲|黄细红|农民工||||||</v>
      </c>
      <c r="AB146" s="2" t="str">
        <f>"2009.09-2012.06  江安高级中学  学生_x000D_
2012.09-2016.06  江苏大学   学生_x000D_
2016.08-2017.06  威格电气公司  职员_x000D_
2017.07-2018.08  国盛智能科技集团  职员"</f>
        <v>2009.09-2012.06  江安高级中学  学生_x000D_
2012.09-2016.06  江苏大学   学生_x000D_
2016.08-2017.06  威格电气公司  职员_x000D_
2017.07-2018.08  国盛智能科技集团  职员</v>
      </c>
      <c r="AC146" s="2" t="str">
        <f>"无"</f>
        <v>无</v>
      </c>
      <c r="AD146" s="2" t="str">
        <f>""</f>
        <v/>
      </c>
      <c r="AE146" s="4">
        <v>43433.847569444442</v>
      </c>
      <c r="AF146" s="2">
        <v>1</v>
      </c>
      <c r="AG146" s="2">
        <v>1</v>
      </c>
      <c r="AH146" s="2">
        <v>1</v>
      </c>
      <c r="AI146" s="2" t="str">
        <f>"18002011721"</f>
        <v>18002011721</v>
      </c>
      <c r="AJ146" s="2">
        <v>17</v>
      </c>
      <c r="AK146" s="2">
        <v>21</v>
      </c>
      <c r="AL146" s="2" t="s">
        <v>119</v>
      </c>
      <c r="AM146" s="2" t="s">
        <v>120</v>
      </c>
      <c r="AN146" s="2">
        <v>1</v>
      </c>
      <c r="AO146" s="2">
        <v>2271</v>
      </c>
      <c r="AP146" s="2" t="s">
        <v>157</v>
      </c>
      <c r="AQ146" s="2"/>
      <c r="AR146" s="2" t="s">
        <v>330</v>
      </c>
      <c r="AS146" s="3" t="s">
        <v>331</v>
      </c>
      <c r="AT146" s="2" t="s">
        <v>117</v>
      </c>
      <c r="AU146" s="2" t="s">
        <v>117</v>
      </c>
      <c r="AV146" s="7">
        <v>70.3</v>
      </c>
      <c r="AW146" s="2">
        <v>3</v>
      </c>
      <c r="AX146" s="2"/>
      <c r="AY146" s="2"/>
    </row>
    <row r="147" spans="1:51" ht="18.75" customHeight="1">
      <c r="A147" t="str">
        <f>"100220181126094354622"</f>
        <v>100220181126094354622</v>
      </c>
      <c r="B147" s="9">
        <v>145</v>
      </c>
      <c r="C147" s="2" t="s">
        <v>159</v>
      </c>
      <c r="D147" s="2" t="str">
        <f>"何秋菊"</f>
        <v>何秋菊</v>
      </c>
      <c r="E147" s="2" t="str">
        <f t="shared" si="78"/>
        <v>女</v>
      </c>
      <c r="F147" s="2" t="str">
        <f>"1988-10-14"</f>
        <v>1988-10-14</v>
      </c>
      <c r="G147" s="2" t="str">
        <f>"320623198810148102"</f>
        <v>320623198810148102</v>
      </c>
      <c r="H147" s="2" t="str">
        <f>"如东"</f>
        <v>如东</v>
      </c>
      <c r="I147" s="2" t="str">
        <f t="shared" si="82"/>
        <v>非应届生</v>
      </c>
      <c r="J147" s="2" t="str">
        <f>"初级会计师"</f>
        <v>初级会计师</v>
      </c>
      <c r="K147" s="2" t="str">
        <f>"201407"</f>
        <v>201407</v>
      </c>
      <c r="L147" s="2" t="str">
        <f>"无"</f>
        <v>无</v>
      </c>
      <c r="M147" s="2" t="str">
        <f>"中国人民大学"</f>
        <v>中国人民大学</v>
      </c>
      <c r="N147" s="2" t="str">
        <f>"会计学"</f>
        <v>会计学</v>
      </c>
      <c r="O147" s="2" t="str">
        <f t="shared" si="79"/>
        <v>本科</v>
      </c>
      <c r="P147" s="2" t="str">
        <f>"168"</f>
        <v>168</v>
      </c>
      <c r="Q147" s="2" t="str">
        <f>"无"</f>
        <v>无</v>
      </c>
      <c r="R147" s="2" t="str">
        <f>"2009.09"</f>
        <v>2009.09</v>
      </c>
      <c r="S147" s="2" t="str">
        <f>"江苏省启东市少直小学"</f>
        <v>江苏省启东市少直小学</v>
      </c>
      <c r="T147" s="2" t="str">
        <f>"000000"</f>
        <v>000000</v>
      </c>
      <c r="U147" s="2" t="str">
        <f>"18061800326"</f>
        <v>18061800326</v>
      </c>
      <c r="V147" s="2" t="str">
        <f>"18061800326"</f>
        <v>18061800326</v>
      </c>
      <c r="W147" s="2" t="str">
        <f>"无"</f>
        <v>无</v>
      </c>
      <c r="X147" s="2" t="str">
        <f t="shared" si="74"/>
        <v>否</v>
      </c>
      <c r="Y147" s="2" t="str">
        <f>"四级"</f>
        <v>四级</v>
      </c>
      <c r="Z147" s="2" t="str">
        <f>"一级"</f>
        <v>一级</v>
      </c>
      <c r="AA147" s="2" t="str">
        <f>"丈夫|范浩博|南通二建集团有限公司|||||||||"</f>
        <v>丈夫|范浩博|南通二建集团有限公司|||||||||</v>
      </c>
      <c r="AB147" s="2" t="str">
        <f>"2003.09-2006.07 如东县马塘中学 高中_x000D_
2006.09-2009.07 扬州职业大学  大专_x000D_
2009.09-2014.02 鸿鸣房地产开发公司 职员_x000D_
2012.02-2014.07 中国人民大学 本科"</f>
        <v>2003.09-2006.07 如东县马塘中学 高中_x000D_
2006.09-2009.07 扬州职业大学  大专_x000D_
2009.09-2014.02 鸿鸣房地产开发公司 职员_x000D_
2012.02-2014.07 中国人民大学 本科</v>
      </c>
      <c r="AC147" s="2" t="str">
        <f>"本科 专业会计学"</f>
        <v>本科 专业会计学</v>
      </c>
      <c r="AD147" s="2" t="str">
        <f>""</f>
        <v/>
      </c>
      <c r="AE147" s="4">
        <v>43430.446134259262</v>
      </c>
      <c r="AF147" s="2">
        <v>1</v>
      </c>
      <c r="AG147" s="2">
        <v>1</v>
      </c>
      <c r="AH147" s="2">
        <v>2</v>
      </c>
      <c r="AI147" s="2" t="str">
        <f>"18002012106"</f>
        <v>18002012106</v>
      </c>
      <c r="AJ147" s="2">
        <v>21</v>
      </c>
      <c r="AK147" s="2">
        <v>6</v>
      </c>
      <c r="AL147" s="2" t="s">
        <v>119</v>
      </c>
      <c r="AM147" s="2" t="s">
        <v>120</v>
      </c>
      <c r="AN147" s="2">
        <v>1</v>
      </c>
      <c r="AO147" s="2">
        <v>2559</v>
      </c>
      <c r="AP147" s="2" t="s">
        <v>160</v>
      </c>
      <c r="AQ147" s="2"/>
      <c r="AR147" s="2" t="s">
        <v>330</v>
      </c>
      <c r="AS147" s="3" t="s">
        <v>331</v>
      </c>
      <c r="AT147" s="2" t="s">
        <v>117</v>
      </c>
      <c r="AU147" s="2" t="s">
        <v>117</v>
      </c>
      <c r="AV147" s="7">
        <v>71.95</v>
      </c>
      <c r="AW147" s="2">
        <v>1</v>
      </c>
      <c r="AX147" s="2"/>
      <c r="AY147" s="2"/>
    </row>
    <row r="148" spans="1:51" ht="18.75" customHeight="1">
      <c r="A148" t="str">
        <f>"1002201811271517103818"</f>
        <v>1002201811271517103818</v>
      </c>
      <c r="B148" s="9">
        <v>146</v>
      </c>
      <c r="C148" s="2" t="s">
        <v>159</v>
      </c>
      <c r="D148" s="2" t="str">
        <f>"孙涵"</f>
        <v>孙涵</v>
      </c>
      <c r="E148" s="2" t="str">
        <f t="shared" si="78"/>
        <v>女</v>
      </c>
      <c r="F148" s="2" t="str">
        <f>"1993-11-14"</f>
        <v>1993-11-14</v>
      </c>
      <c r="G148" s="2" t="str">
        <f>"321283199311149223"</f>
        <v>321283199311149223</v>
      </c>
      <c r="H148" s="2" t="str">
        <f>"江苏泰兴"</f>
        <v>江苏泰兴</v>
      </c>
      <c r="I148" s="2" t="str">
        <f t="shared" si="82"/>
        <v>非应届生</v>
      </c>
      <c r="J148" s="2" t="str">
        <f>"会计初级"</f>
        <v>会计初级</v>
      </c>
      <c r="K148" s="2" t="str">
        <f>"2016.6"</f>
        <v>2016.6</v>
      </c>
      <c r="L148" s="2" t="str">
        <f t="shared" ref="L148:L179" si="84">"学士"</f>
        <v>学士</v>
      </c>
      <c r="M148" s="2" t="str">
        <f>"徐州工程学院"</f>
        <v>徐州工程学院</v>
      </c>
      <c r="N148" s="2" t="str">
        <f>"财务管理"</f>
        <v>财务管理</v>
      </c>
      <c r="O148" s="2" t="str">
        <f t="shared" si="79"/>
        <v>本科</v>
      </c>
      <c r="P148" s="2" t="str">
        <f>"161"</f>
        <v>161</v>
      </c>
      <c r="Q148" s="2" t="str">
        <f>"泰兴市人社所"</f>
        <v>泰兴市人社所</v>
      </c>
      <c r="R148" s="2" t="str">
        <f>"2016.8"</f>
        <v>2016.8</v>
      </c>
      <c r="S148" s="2" t="str">
        <f>"泰兴市兴泰华庭1单元101"</f>
        <v>泰兴市兴泰华庭1单元101</v>
      </c>
      <c r="T148" s="2" t="str">
        <f>"225400"</f>
        <v>225400</v>
      </c>
      <c r="U148" s="2" t="str">
        <f>"87672090"</f>
        <v>87672090</v>
      </c>
      <c r="V148" s="2" t="str">
        <f>"18352635465"</f>
        <v>18352635465</v>
      </c>
      <c r="W148" s="2" t="str">
        <f>"二级乙等"</f>
        <v>二级乙等</v>
      </c>
      <c r="X148" s="2" t="str">
        <f t="shared" si="74"/>
        <v>否</v>
      </c>
      <c r="Y148" s="2" t="str">
        <f>"英语四级"</f>
        <v>英语四级</v>
      </c>
      <c r="Z148" s="2" t="str">
        <f>"计算机二级"</f>
        <v>计算机二级</v>
      </c>
      <c r="AA148" s="2" t="str">
        <f>"父亲|孙卫国|自由|母亲|印爱民|南磷化工||||||"</f>
        <v>父亲|孙卫国|自由|母亲|印爱民|南磷化工||||||</v>
      </c>
      <c r="AB148" s="2" t="str">
        <f>"2009.9-2012.6 泰兴市第一高级中学 学生_x000D_
2012.9-2016.6 徐州工程学院 学生_x000D_
2016.8-2018.8 泰兴汤臣压克力有限公司 会计_x000D_
2018.9-至今 泰兴市滨江政人社所 劳动协管员"</f>
        <v>2009.9-2012.6 泰兴市第一高级中学 学生_x000D_
2012.9-2016.6 徐州工程学院 学生_x000D_
2016.8-2018.8 泰兴汤臣压克力有限公司 会计_x000D_
2018.9-至今 泰兴市滨江政人社所 劳动协管员</v>
      </c>
      <c r="AC148" s="2" t="str">
        <f>"无"</f>
        <v>无</v>
      </c>
      <c r="AD148" s="2" t="str">
        <f>""</f>
        <v/>
      </c>
      <c r="AE148" s="4">
        <v>43431.6721875</v>
      </c>
      <c r="AF148" s="2">
        <v>1</v>
      </c>
      <c r="AG148" s="2">
        <v>1</v>
      </c>
      <c r="AH148" s="2">
        <v>2</v>
      </c>
      <c r="AI148" s="2" t="str">
        <f>"18002012110"</f>
        <v>18002012110</v>
      </c>
      <c r="AJ148" s="2">
        <v>21</v>
      </c>
      <c r="AK148" s="2">
        <v>10</v>
      </c>
      <c r="AL148" s="2" t="s">
        <v>119</v>
      </c>
      <c r="AM148" s="2" t="s">
        <v>120</v>
      </c>
      <c r="AN148" s="2">
        <v>1</v>
      </c>
      <c r="AO148" s="2">
        <v>2763</v>
      </c>
      <c r="AP148" s="2" t="s">
        <v>161</v>
      </c>
      <c r="AQ148" s="2"/>
      <c r="AR148" s="2" t="s">
        <v>330</v>
      </c>
      <c r="AS148" s="3" t="s">
        <v>331</v>
      </c>
      <c r="AT148" s="2" t="s">
        <v>117</v>
      </c>
      <c r="AU148" s="2" t="s">
        <v>117</v>
      </c>
      <c r="AV148" s="7">
        <v>71.900000000000006</v>
      </c>
      <c r="AW148" s="2">
        <v>2</v>
      </c>
      <c r="AX148" s="2"/>
      <c r="AY148" s="2"/>
    </row>
    <row r="149" spans="1:51" ht="18.75" customHeight="1">
      <c r="A149" t="str">
        <f>"100220181126093549538"</f>
        <v>100220181126093549538</v>
      </c>
      <c r="B149" s="9">
        <v>147</v>
      </c>
      <c r="C149" s="2" t="s">
        <v>159</v>
      </c>
      <c r="D149" s="2" t="str">
        <f>"谭思敏"</f>
        <v>谭思敏</v>
      </c>
      <c r="E149" s="2" t="str">
        <f t="shared" si="78"/>
        <v>女</v>
      </c>
      <c r="F149" s="2" t="str">
        <f>"1995-03-07"</f>
        <v>1995-03-07</v>
      </c>
      <c r="G149" s="2" t="str">
        <f>"320682199503070688"</f>
        <v>320682199503070688</v>
      </c>
      <c r="H149" s="2" t="str">
        <f>"江苏省南通市如皋市"</f>
        <v>江苏省南通市如皋市</v>
      </c>
      <c r="I149" s="2" t="str">
        <f t="shared" si="82"/>
        <v>非应届生</v>
      </c>
      <c r="J149" s="2" t="str">
        <f>"无"</f>
        <v>无</v>
      </c>
      <c r="K149" s="2" t="str">
        <f>"2017.06"</f>
        <v>2017.06</v>
      </c>
      <c r="L149" s="2" t="str">
        <f t="shared" si="84"/>
        <v>学士</v>
      </c>
      <c r="M149" s="2" t="str">
        <f>"徐州工程学院"</f>
        <v>徐州工程学院</v>
      </c>
      <c r="N149" s="2" t="str">
        <f>"会计学"</f>
        <v>会计学</v>
      </c>
      <c r="O149" s="2" t="str">
        <f t="shared" si="79"/>
        <v>本科</v>
      </c>
      <c r="P149" s="2" t="str">
        <f>"163cm"</f>
        <v>163cm</v>
      </c>
      <c r="Q149" s="2" t="str">
        <f>"如皋市社会保险基金管理中心"</f>
        <v>如皋市社会保险基金管理中心</v>
      </c>
      <c r="R149" s="2" t="str">
        <f>"201709"</f>
        <v>201709</v>
      </c>
      <c r="S149" s="2" t="str">
        <f>"江苏省南通市如皋市丰乐苑102幢607室"</f>
        <v>江苏省南通市如皋市丰乐苑102幢607室</v>
      </c>
      <c r="T149" s="2" t="str">
        <f>"226500"</f>
        <v>226500</v>
      </c>
      <c r="U149" s="2" t="str">
        <f>"无"</f>
        <v>无</v>
      </c>
      <c r="V149" s="2" t="str">
        <f>"15151358575"</f>
        <v>15151358575</v>
      </c>
      <c r="W149" s="2" t="str">
        <f>"二级甲等"</f>
        <v>二级甲等</v>
      </c>
      <c r="X149" s="2" t="str">
        <f t="shared" si="74"/>
        <v>否</v>
      </c>
      <c r="Y149" s="2" t="str">
        <f>"六级"</f>
        <v>六级</v>
      </c>
      <c r="Z149" s="2" t="str">
        <f>"二级"</f>
        <v>二级</v>
      </c>
      <c r="AA149" s="2" t="str">
        <f>"父亲|谭清富|无|母亲|张世芬|无||||||"</f>
        <v>父亲|谭清富|无|母亲|张世芬|无||||||</v>
      </c>
      <c r="AB149" s="2" t="str">
        <f>"201009-201306 如皋市第一中学 学生_x000D_
201309-201706 徐州工程学院管理学院会计学 学生_x000D_
201709-现在 如皋市社会保险基金管理中心 三支一扶人员"</f>
        <v>201009-201306 如皋市第一中学 学生_x000D_
201309-201706 徐州工程学院管理学院会计学 学生_x000D_
201709-现在 如皋市社会保险基金管理中心 三支一扶人员</v>
      </c>
      <c r="AC149" s="2" t="str">
        <f>"无"</f>
        <v>无</v>
      </c>
      <c r="AD149" s="2" t="str">
        <f>""</f>
        <v/>
      </c>
      <c r="AE149" s="4">
        <v>43430.446574074071</v>
      </c>
      <c r="AF149" s="2">
        <v>1</v>
      </c>
      <c r="AG149" s="2">
        <v>1</v>
      </c>
      <c r="AH149" s="2">
        <v>3</v>
      </c>
      <c r="AI149" s="2" t="str">
        <f>"18002012030"</f>
        <v>18002012030</v>
      </c>
      <c r="AJ149" s="2">
        <v>20</v>
      </c>
      <c r="AK149" s="2">
        <v>30</v>
      </c>
      <c r="AL149" s="2" t="s">
        <v>119</v>
      </c>
      <c r="AM149" s="2" t="s">
        <v>120</v>
      </c>
      <c r="AN149" s="2">
        <v>1</v>
      </c>
      <c r="AO149" s="2">
        <v>2056</v>
      </c>
      <c r="AP149" s="2" t="s">
        <v>46</v>
      </c>
      <c r="AQ149" s="2"/>
      <c r="AR149" s="2" t="s">
        <v>330</v>
      </c>
      <c r="AS149" s="3" t="s">
        <v>331</v>
      </c>
      <c r="AT149" s="2" t="s">
        <v>117</v>
      </c>
      <c r="AU149" s="2" t="s">
        <v>117</v>
      </c>
      <c r="AV149" s="7">
        <v>71.849999999999994</v>
      </c>
      <c r="AW149" s="2">
        <v>3</v>
      </c>
      <c r="AX149" s="2"/>
      <c r="AY149" s="2"/>
    </row>
    <row r="150" spans="1:51" ht="18.75" customHeight="1">
      <c r="A150" t="str">
        <f>"100220181126102251893"</f>
        <v>100220181126102251893</v>
      </c>
      <c r="B150" s="9">
        <v>148</v>
      </c>
      <c r="C150" s="2" t="s">
        <v>163</v>
      </c>
      <c r="D150" s="2" t="str">
        <f>"韩笑"</f>
        <v>韩笑</v>
      </c>
      <c r="E150" s="2" t="str">
        <f>"女"</f>
        <v>女</v>
      </c>
      <c r="F150" s="2" t="str">
        <f>"1993-11-27"</f>
        <v>1993-11-27</v>
      </c>
      <c r="G150" s="2" t="str">
        <f>"32128419931127002X"</f>
        <v>32128419931127002X</v>
      </c>
      <c r="H150" s="2" t="str">
        <f>"江苏泰州"</f>
        <v>江苏泰州</v>
      </c>
      <c r="I150" s="2" t="str">
        <f t="shared" si="82"/>
        <v>非应届生</v>
      </c>
      <c r="J150" s="2" t="str">
        <f>"无"</f>
        <v>无</v>
      </c>
      <c r="K150" s="2" t="str">
        <f>"2016.6"</f>
        <v>2016.6</v>
      </c>
      <c r="L150" s="2" t="str">
        <f t="shared" si="84"/>
        <v>学士</v>
      </c>
      <c r="M150" s="2" t="str">
        <f>"徐州工程学院"</f>
        <v>徐州工程学院</v>
      </c>
      <c r="N150" s="2" t="str">
        <f>"园林"</f>
        <v>园林</v>
      </c>
      <c r="O150" s="2" t="str">
        <f t="shared" si="79"/>
        <v>本科</v>
      </c>
      <c r="P150" s="2" t="str">
        <f>"155"</f>
        <v>155</v>
      </c>
      <c r="Q150" s="2" t="str">
        <f>"盐城建湖人力资源与社会保障局"</f>
        <v>盐城建湖人力资源与社会保障局</v>
      </c>
      <c r="R150" s="2" t="str">
        <f>"2016.7"</f>
        <v>2016.7</v>
      </c>
      <c r="S150" s="2" t="str">
        <f>"泰州市姜堰区怡园新村2号楼103室"</f>
        <v>泰州市姜堰区怡园新村2号楼103室</v>
      </c>
      <c r="T150" s="2" t="str">
        <f>"225500"</f>
        <v>225500</v>
      </c>
      <c r="U150" s="2" t="str">
        <f>"052388280836"</f>
        <v>052388280836</v>
      </c>
      <c r="V150" s="2" t="str">
        <f>"13914448156"</f>
        <v>13914448156</v>
      </c>
      <c r="W150" s="2" t="str">
        <f>"二乙"</f>
        <v>二乙</v>
      </c>
      <c r="X150" s="2" t="str">
        <f t="shared" si="74"/>
        <v>否</v>
      </c>
      <c r="Y150" s="2" t="str">
        <f>"六级"</f>
        <v>六级</v>
      </c>
      <c r="Z150" s="2" t="str">
        <f>"二级"</f>
        <v>二级</v>
      </c>
      <c r="AA150" s="2" t="str">
        <f>"韩树育|父女|姜堰农委|金网林|母女|无||||||"</f>
        <v>韩树育|父女|姜堰农委|金网林|母女|无||||||</v>
      </c>
      <c r="AB150" s="2" t="str">
        <f>"2009.9-2012.6姜堰中学 学生_x000D_
2012.9-2016.6徐州工程学院 学生_x000D_
2016.7-2018.10江苏益诚建设工程有限公司 职员_x000D_
2018.10-至今 盐城市建湖县人力资源与社会保障局 办事员"</f>
        <v>2009.9-2012.6姜堰中学 学生_x000D_
2012.9-2016.6徐州工程学院 学生_x000D_
2016.7-2018.10江苏益诚建设工程有限公司 职员_x000D_
2018.10-至今 盐城市建湖县人力资源与社会保障局 办事员</v>
      </c>
      <c r="AC150" s="2" t="str">
        <f t="shared" ref="AC150:AC151" si="85">"无"</f>
        <v>无</v>
      </c>
      <c r="AD150" s="2" t="str">
        <f>""</f>
        <v/>
      </c>
      <c r="AE150" s="4">
        <v>43433.431423611109</v>
      </c>
      <c r="AF150" s="2">
        <v>1</v>
      </c>
      <c r="AG150" s="2">
        <v>1</v>
      </c>
      <c r="AH150" s="2">
        <v>2</v>
      </c>
      <c r="AI150" s="2" t="str">
        <f>"18002012601"</f>
        <v>18002012601</v>
      </c>
      <c r="AJ150" s="2">
        <v>26</v>
      </c>
      <c r="AK150" s="2">
        <v>1</v>
      </c>
      <c r="AL150" s="2" t="s">
        <v>119</v>
      </c>
      <c r="AM150" s="2" t="s">
        <v>120</v>
      </c>
      <c r="AN150" s="2">
        <v>1</v>
      </c>
      <c r="AO150" s="2">
        <v>9080</v>
      </c>
      <c r="AP150" s="2" t="s">
        <v>166</v>
      </c>
      <c r="AQ150" s="2"/>
      <c r="AR150" s="2" t="s">
        <v>330</v>
      </c>
      <c r="AS150" s="3" t="s">
        <v>331</v>
      </c>
      <c r="AT150" s="2" t="s">
        <v>117</v>
      </c>
      <c r="AU150" s="2" t="s">
        <v>117</v>
      </c>
      <c r="AV150" s="7">
        <v>74.55</v>
      </c>
      <c r="AW150" s="2">
        <v>1</v>
      </c>
      <c r="AX150" s="2"/>
      <c r="AY150" s="2"/>
    </row>
    <row r="151" spans="1:51" ht="18.75" customHeight="1">
      <c r="A151" t="str">
        <f>"1002201811271240243623"</f>
        <v>1002201811271240243623</v>
      </c>
      <c r="B151" s="9">
        <v>149</v>
      </c>
      <c r="C151" s="2" t="s">
        <v>163</v>
      </c>
      <c r="D151" s="2" t="str">
        <f>"徐香萍"</f>
        <v>徐香萍</v>
      </c>
      <c r="E151" s="2" t="str">
        <f t="shared" ref="E151:E152" si="86">"男"</f>
        <v>男</v>
      </c>
      <c r="F151" s="2" t="str">
        <f>"1993-11-20"</f>
        <v>1993-11-20</v>
      </c>
      <c r="G151" s="2" t="str">
        <f>"320682199311206595"</f>
        <v>320682199311206595</v>
      </c>
      <c r="H151" s="2" t="str">
        <f>"天津"</f>
        <v>天津</v>
      </c>
      <c r="I151" s="2" t="str">
        <f t="shared" si="82"/>
        <v>非应届生</v>
      </c>
      <c r="J151" s="2" t="str">
        <f>"助理工程师"</f>
        <v>助理工程师</v>
      </c>
      <c r="K151" s="2" t="str">
        <f>"2016.06"</f>
        <v>2016.06</v>
      </c>
      <c r="L151" s="2" t="str">
        <f t="shared" si="84"/>
        <v>学士</v>
      </c>
      <c r="M151" s="2" t="str">
        <f>"河北建筑工程学院"</f>
        <v>河北建筑工程学院</v>
      </c>
      <c r="N151" s="2" t="str">
        <f>"工程管理"</f>
        <v>工程管理</v>
      </c>
      <c r="O151" s="2" t="str">
        <f t="shared" si="79"/>
        <v>本科</v>
      </c>
      <c r="P151" s="2" t="str">
        <f>"175"</f>
        <v>175</v>
      </c>
      <c r="Q151" s="2" t="str">
        <f>"无"</f>
        <v>无</v>
      </c>
      <c r="R151" s="2" t="str">
        <f>"2016.08"</f>
        <v>2016.08</v>
      </c>
      <c r="S151" s="2" t="str">
        <f>"江苏省如皋市搬经镇丁许村28组41号"</f>
        <v>江苏省如皋市搬经镇丁许村28组41号</v>
      </c>
      <c r="T151" s="2" t="str">
        <f>"226500"</f>
        <v>226500</v>
      </c>
      <c r="U151" s="2" t="str">
        <f>"无"</f>
        <v>无</v>
      </c>
      <c r="V151" s="2" t="str">
        <f>"18252860107"</f>
        <v>18252860107</v>
      </c>
      <c r="W151" s="2" t="str">
        <f>"无"</f>
        <v>无</v>
      </c>
      <c r="X151" s="2" t="str">
        <f t="shared" si="74"/>
        <v>否</v>
      </c>
      <c r="Y151" s="2" t="str">
        <f>"大学英语四级"</f>
        <v>大学英语四级</v>
      </c>
      <c r="Z151" s="2" t="str">
        <f>"计算机一级"</f>
        <v>计算机一级</v>
      </c>
      <c r="AA151" s="2" t="str">
        <f>"父亲|徐远涛|个体|母亲|龙云桃|已故|无|无|无|无|无|无"</f>
        <v>父亲|徐远涛|个体|母亲|龙云桃|已故|无|无|无|无|无|无</v>
      </c>
      <c r="AB151" s="2" t="str">
        <f>"2009.09-2012.06江苏省石庄高级中学_x000D_
2012.09-2016.08河北建筑工程学院_x000D_
2016.08-2018.08中建二局第四建筑工程有限公司"</f>
        <v>2009.09-2012.06江苏省石庄高级中学_x000D_
2012.09-2016.08河北建筑工程学院_x000D_
2016.08-2018.08中建二局第四建筑工程有限公司</v>
      </c>
      <c r="AC151" s="2" t="str">
        <f t="shared" si="85"/>
        <v>无</v>
      </c>
      <c r="AD151" s="2" t="str">
        <f>"现户籍地天津（原单位集体户口），父亲南通户籍，母亲已故，家中独子。"</f>
        <v>现户籍地天津（原单位集体户口），父亲南通户籍，母亲已故，家中独子。</v>
      </c>
      <c r="AE151" s="4">
        <v>43434.428391203706</v>
      </c>
      <c r="AF151" s="2">
        <v>1</v>
      </c>
      <c r="AG151" s="2">
        <v>1</v>
      </c>
      <c r="AH151" s="2">
        <v>1</v>
      </c>
      <c r="AI151" s="2" t="str">
        <f>"18002012524"</f>
        <v>18002012524</v>
      </c>
      <c r="AJ151" s="2">
        <v>25</v>
      </c>
      <c r="AK151" s="2">
        <v>24</v>
      </c>
      <c r="AL151" s="2" t="s">
        <v>119</v>
      </c>
      <c r="AM151" s="2" t="s">
        <v>120</v>
      </c>
      <c r="AN151" s="2">
        <v>1</v>
      </c>
      <c r="AO151" s="2">
        <v>7925</v>
      </c>
      <c r="AP151" s="2" t="s">
        <v>165</v>
      </c>
      <c r="AQ151" s="2"/>
      <c r="AR151" s="2" t="s">
        <v>330</v>
      </c>
      <c r="AS151" s="3" t="s">
        <v>331</v>
      </c>
      <c r="AT151" s="2" t="s">
        <v>117</v>
      </c>
      <c r="AU151" s="2" t="s">
        <v>117</v>
      </c>
      <c r="AV151" s="7">
        <v>73.5</v>
      </c>
      <c r="AW151" s="2">
        <v>2</v>
      </c>
      <c r="AX151" s="2"/>
      <c r="AY151" s="2"/>
    </row>
    <row r="152" spans="1:51" ht="18.75" customHeight="1">
      <c r="A152" t="str">
        <f>"1002201811281700315065"</f>
        <v>1002201811281700315065</v>
      </c>
      <c r="B152" s="9">
        <v>150</v>
      </c>
      <c r="C152" s="2" t="s">
        <v>163</v>
      </c>
      <c r="D152" s="2" t="str">
        <f>"支闰"</f>
        <v>支闰</v>
      </c>
      <c r="E152" s="2" t="str">
        <f t="shared" si="86"/>
        <v>男</v>
      </c>
      <c r="F152" s="2" t="str">
        <f>"1991-06-27"</f>
        <v>1991-06-27</v>
      </c>
      <c r="G152" s="2" t="str">
        <f>"320803199106270219"</f>
        <v>320803199106270219</v>
      </c>
      <c r="H152" s="2" t="str">
        <f>"江苏淮安"</f>
        <v>江苏淮安</v>
      </c>
      <c r="I152" s="2" t="str">
        <f t="shared" si="82"/>
        <v>非应届生</v>
      </c>
      <c r="J152" s="2" t="str">
        <f>"助理工程师"</f>
        <v>助理工程师</v>
      </c>
      <c r="K152" s="2" t="str">
        <f>"2014.06"</f>
        <v>2014.06</v>
      </c>
      <c r="L152" s="2" t="str">
        <f t="shared" si="84"/>
        <v>学士</v>
      </c>
      <c r="M152" s="2" t="str">
        <f>"南京工业大学浦江学院"</f>
        <v>南京工业大学浦江学院</v>
      </c>
      <c r="N152" s="2" t="str">
        <f>"土木工程"</f>
        <v>土木工程</v>
      </c>
      <c r="O152" s="2" t="str">
        <f t="shared" si="79"/>
        <v>本科</v>
      </c>
      <c r="P152" s="2" t="str">
        <f>"175"</f>
        <v>175</v>
      </c>
      <c r="Q152" s="2" t="str">
        <f>"无"</f>
        <v>无</v>
      </c>
      <c r="R152" s="2" t="str">
        <f>"2014.09"</f>
        <v>2014.09</v>
      </c>
      <c r="S152" s="2" t="str">
        <f>"江苏省淮安市淮安区翔宇小区"</f>
        <v>江苏省淮安市淮安区翔宇小区</v>
      </c>
      <c r="T152" s="2" t="str">
        <f>"223200"</f>
        <v>223200</v>
      </c>
      <c r="U152" s="2" t="str">
        <f>"0517-85993398"</f>
        <v>0517-85993398</v>
      </c>
      <c r="V152" s="2" t="str">
        <f>"13952374050"</f>
        <v>13952374050</v>
      </c>
      <c r="W152" s="2" t="str">
        <f>"无"</f>
        <v>无</v>
      </c>
      <c r="X152" s="2" t="str">
        <f t="shared" si="74"/>
        <v>否</v>
      </c>
      <c r="Y152" s="2" t="str">
        <f>"大学英语四级"</f>
        <v>大学英语四级</v>
      </c>
      <c r="Z152" s="2" t="str">
        <f>"无"</f>
        <v>无</v>
      </c>
      <c r="AA152" s="2" t="str">
        <f>"母亲|吴霞云|自由职业者|||||||||"</f>
        <v>母亲|吴霞云|自由职业者|||||||||</v>
      </c>
      <c r="AB152" s="2" t="str">
        <f>"2006.09-2010.06江苏省淮安中学 学生_x000D_
2010.09-2014.06南京工业大学浦江学院土木工程专业 学生_x000D_
2014.07-2016.07南京嘉盛建设工程公司淮安分公司 职员"</f>
        <v>2006.09-2010.06江苏省淮安中学 学生_x000D_
2010.09-2014.06南京工业大学浦江学院土木工程专业 学生_x000D_
2014.07-2016.07南京嘉盛建设工程公司淮安分公司 职员</v>
      </c>
      <c r="AC152" s="2" t="str">
        <f>"个人拥有助理工程师职称"</f>
        <v>个人拥有助理工程师职称</v>
      </c>
      <c r="AD152" s="2" t="str">
        <f>""</f>
        <v/>
      </c>
      <c r="AE152" s="4">
        <v>43433.402291666665</v>
      </c>
      <c r="AF152" s="2">
        <v>1</v>
      </c>
      <c r="AG152" s="2">
        <v>1</v>
      </c>
      <c r="AH152" s="2">
        <v>1</v>
      </c>
      <c r="AI152" s="2" t="str">
        <f>"18002012514"</f>
        <v>18002012514</v>
      </c>
      <c r="AJ152" s="2">
        <v>25</v>
      </c>
      <c r="AK152" s="2">
        <v>14</v>
      </c>
      <c r="AL152" s="2" t="s">
        <v>119</v>
      </c>
      <c r="AM152" s="2" t="s">
        <v>120</v>
      </c>
      <c r="AN152" s="2">
        <v>1</v>
      </c>
      <c r="AO152" s="2">
        <v>5605</v>
      </c>
      <c r="AP152" s="2" t="s">
        <v>164</v>
      </c>
      <c r="AQ152" s="2"/>
      <c r="AR152" s="2" t="s">
        <v>330</v>
      </c>
      <c r="AS152" s="3" t="s">
        <v>331</v>
      </c>
      <c r="AT152" s="2" t="s">
        <v>117</v>
      </c>
      <c r="AU152" s="2" t="s">
        <v>117</v>
      </c>
      <c r="AV152" s="7">
        <v>73.2</v>
      </c>
      <c r="AW152" s="2">
        <v>3</v>
      </c>
      <c r="AX152" s="2"/>
      <c r="AY152" s="2"/>
    </row>
    <row r="153" spans="1:51" ht="18.75" customHeight="1">
      <c r="A153" t="str">
        <f>"1002201811281230304765"</f>
        <v>1002201811281230304765</v>
      </c>
      <c r="B153" s="9">
        <v>151</v>
      </c>
      <c r="C153" s="2" t="s">
        <v>326</v>
      </c>
      <c r="D153" s="2" t="str">
        <f>"龚菁"</f>
        <v>龚菁</v>
      </c>
      <c r="E153" s="2" t="str">
        <f t="shared" ref="E153:E155" si="87">"女"</f>
        <v>女</v>
      </c>
      <c r="F153" s="2" t="str">
        <f>"1989-06-18"</f>
        <v>1989-06-18</v>
      </c>
      <c r="G153" s="2" t="str">
        <f>"320683198906180226"</f>
        <v>320683198906180226</v>
      </c>
      <c r="H153" s="2" t="str">
        <f>"江苏南通"</f>
        <v>江苏南通</v>
      </c>
      <c r="I153" s="2" t="str">
        <f>"非应届生"</f>
        <v>非应届生</v>
      </c>
      <c r="J153" s="2" t="str">
        <f>"初级会计师"</f>
        <v>初级会计师</v>
      </c>
      <c r="K153" s="2" t="str">
        <f>"2012.07"</f>
        <v>2012.07</v>
      </c>
      <c r="L153" s="2" t="str">
        <f t="shared" si="84"/>
        <v>学士</v>
      </c>
      <c r="M153" s="2" t="str">
        <f>"金陵科技学院"</f>
        <v>金陵科技学院</v>
      </c>
      <c r="N153" s="2" t="str">
        <f>"会计学"</f>
        <v>会计学</v>
      </c>
      <c r="O153" s="2" t="str">
        <f t="shared" si="79"/>
        <v>本科</v>
      </c>
      <c r="P153" s="2" t="str">
        <f>"165"</f>
        <v>165</v>
      </c>
      <c r="Q153" s="2" t="str">
        <f>"无"</f>
        <v>无</v>
      </c>
      <c r="R153" s="2" t="str">
        <f>"2012.09"</f>
        <v>2012.09</v>
      </c>
      <c r="S153" s="2" t="str">
        <f>"江苏南通开发区炜赋星湖邻里"</f>
        <v>江苏南通开发区炜赋星湖邻里</v>
      </c>
      <c r="T153" s="2" t="str">
        <f>"226311"</f>
        <v>226311</v>
      </c>
      <c r="U153" s="2" t="str">
        <f>"85706806"</f>
        <v>85706806</v>
      </c>
      <c r="V153" s="2" t="str">
        <f>"13912245797"</f>
        <v>13912245797</v>
      </c>
      <c r="W153" s="2" t="str">
        <f>"无"</f>
        <v>无</v>
      </c>
      <c r="X153" s="2" t="str">
        <f t="shared" si="74"/>
        <v>否</v>
      </c>
      <c r="Y153" s="2" t="str">
        <f>"英语六级"</f>
        <v>英语六级</v>
      </c>
      <c r="Z153" s="2" t="str">
        <f>"计算机一级"</f>
        <v>计算机一级</v>
      </c>
      <c r="AA153" s="2" t="str">
        <f>"夫妻|葛季|美团网|母子|葛骏程|儿童||||||"</f>
        <v>夫妻|葛季|美团网|母子|葛骏程|儿童||||||</v>
      </c>
      <c r="AB153" s="2" t="str">
        <f>"2005.09-2008.06 通州石港中学 学生_x000D_
2008.09-2012.07 金陵科技学院会计学专业 学生_x000D_
2012.09-2018.09 南通农商银行 柜员_x000D_
"</f>
        <v xml:space="preserve">2005.09-2008.06 通州石港中学 学生_x000D_
2008.09-2012.07 金陵科技学院会计学专业 学生_x000D_
2012.09-2018.09 南通农商银行 柜员_x000D_
</v>
      </c>
      <c r="AC153" s="2" t="str">
        <f t="shared" ref="AC153:AC158" si="88">"无"</f>
        <v>无</v>
      </c>
      <c r="AD153" s="2" t="str">
        <f>""</f>
        <v/>
      </c>
      <c r="AE153" s="4">
        <v>43432.595312500001</v>
      </c>
      <c r="AF153" s="2">
        <v>1</v>
      </c>
      <c r="AG153" s="2">
        <v>1</v>
      </c>
      <c r="AH153" s="2">
        <v>1</v>
      </c>
      <c r="AI153" s="2" t="str">
        <f>"18002028112"</f>
        <v>18002028112</v>
      </c>
      <c r="AJ153" s="2">
        <v>81</v>
      </c>
      <c r="AK153" s="2">
        <v>12</v>
      </c>
      <c r="AL153" s="2" t="s">
        <v>42</v>
      </c>
      <c r="AM153" s="2" t="s">
        <v>43</v>
      </c>
      <c r="AN153" s="2">
        <v>2</v>
      </c>
      <c r="AO153" s="2">
        <v>8786</v>
      </c>
      <c r="AP153" s="2" t="s">
        <v>329</v>
      </c>
      <c r="AQ153" s="2"/>
      <c r="AR153" s="2" t="s">
        <v>330</v>
      </c>
      <c r="AS153" s="3" t="s">
        <v>331</v>
      </c>
      <c r="AT153" s="2" t="s">
        <v>117</v>
      </c>
      <c r="AU153" s="2" t="s">
        <v>117</v>
      </c>
      <c r="AV153" s="7">
        <v>75.099999999999994</v>
      </c>
      <c r="AW153" s="2">
        <v>1</v>
      </c>
      <c r="AX153" s="2"/>
      <c r="AY153" s="2"/>
    </row>
    <row r="154" spans="1:51" ht="18.75" customHeight="1">
      <c r="A154" t="str">
        <f>"1002201811282038015279"</f>
        <v>1002201811282038015279</v>
      </c>
      <c r="B154" s="9">
        <v>152</v>
      </c>
      <c r="C154" s="2" t="s">
        <v>326</v>
      </c>
      <c r="D154" s="2" t="str">
        <f>"丁群"</f>
        <v>丁群</v>
      </c>
      <c r="E154" s="2" t="str">
        <f t="shared" si="87"/>
        <v>女</v>
      </c>
      <c r="F154" s="2" t="str">
        <f>"1995-04-20"</f>
        <v>1995-04-20</v>
      </c>
      <c r="G154" s="2" t="str">
        <f>"320830199504200020"</f>
        <v>320830199504200020</v>
      </c>
      <c r="H154" s="2" t="str">
        <f>"江苏淮安"</f>
        <v>江苏淮安</v>
      </c>
      <c r="I154" s="2" t="str">
        <f>"非应届生"</f>
        <v>非应届生</v>
      </c>
      <c r="J154" s="2" t="str">
        <f>"无"</f>
        <v>无</v>
      </c>
      <c r="K154" s="2" t="str">
        <f>"2017.06"</f>
        <v>2017.06</v>
      </c>
      <c r="L154" s="2" t="str">
        <f t="shared" si="84"/>
        <v>学士</v>
      </c>
      <c r="M154" s="2" t="str">
        <f>"南京邮电大学"</f>
        <v>南京邮电大学</v>
      </c>
      <c r="N154" s="2" t="str">
        <f>"财务管理"</f>
        <v>财务管理</v>
      </c>
      <c r="O154" s="2" t="str">
        <f t="shared" si="79"/>
        <v>本科</v>
      </c>
      <c r="P154" s="2" t="str">
        <f>"160"</f>
        <v>160</v>
      </c>
      <c r="Q154" s="2" t="str">
        <f>"无"</f>
        <v>无</v>
      </c>
      <c r="R154" s="2" t="str">
        <f>"2017.07"</f>
        <v>2017.07</v>
      </c>
      <c r="S154" s="2" t="str">
        <f>"江苏省淮安市盱眙县五墩西路68号"</f>
        <v>江苏省淮安市盱眙县五墩西路68号</v>
      </c>
      <c r="T154" s="2" t="str">
        <f>"211700"</f>
        <v>211700</v>
      </c>
      <c r="U154" s="2" t="str">
        <f>"无"</f>
        <v>无</v>
      </c>
      <c r="V154" s="2" t="str">
        <f>"15189567958"</f>
        <v>15189567958</v>
      </c>
      <c r="W154" s="2" t="str">
        <f>"无"</f>
        <v>无</v>
      </c>
      <c r="X154" s="2" t="str">
        <f t="shared" si="74"/>
        <v>否</v>
      </c>
      <c r="Y154" s="2" t="str">
        <f>"英语六级"</f>
        <v>英语六级</v>
      </c>
      <c r="Z154" s="2" t="str">
        <f>"计算机二级"</f>
        <v>计算机二级</v>
      </c>
      <c r="AA154" s="2" t="str">
        <f>"父亲|丁德波|江苏省盱眙县粮食购销总公司|母亲|芮春梅|江苏省盱眙县兴隆乡粮管所||||||"</f>
        <v>父亲|丁德波|江苏省盱眙县粮食购销总公司|母亲|芮春梅|江苏省盱眙县兴隆乡粮管所||||||</v>
      </c>
      <c r="AB154" s="2" t="str">
        <f>"2010.09-2013.06 江苏省盱眙中学 学生_x000D_
2013.09-2017.06 南京邮电大学经济学院经济学专业，经济学学士_x000D_
 学生（全日制）_x000D_
2014.09-2017.06 南京邮电大学继续教育学院财务管理专业，管理学学士 学生（第二学历，非全日制）_x000D_
2017.07-2018.07 苏北计划志愿者 职员_x000D_
2018.07至今 待业_x000D_
"</f>
        <v xml:space="preserve">2010.09-2013.06 江苏省盱眙中学 学生_x000D_
2013.09-2017.06 南京邮电大学经济学院经济学专业，经济学学士_x000D_
 学生（全日制）_x000D_
2014.09-2017.06 南京邮电大学继续教育学院财务管理专业，管理学学士 学生（第二学历，非全日制）_x000D_
2017.07-2018.07 苏北计划志愿者 职员_x000D_
2018.07至今 待业_x000D_
</v>
      </c>
      <c r="AC154" s="2" t="str">
        <f t="shared" si="88"/>
        <v>无</v>
      </c>
      <c r="AD154" s="2" t="str">
        <f>""</f>
        <v/>
      </c>
      <c r="AE154" s="4">
        <v>43433.413923611108</v>
      </c>
      <c r="AF154" s="2">
        <v>1</v>
      </c>
      <c r="AG154" s="2">
        <v>1</v>
      </c>
      <c r="AH154" s="2">
        <v>3</v>
      </c>
      <c r="AI154" s="2" t="str">
        <f>"18002028013"</f>
        <v>18002028013</v>
      </c>
      <c r="AJ154" s="2">
        <v>80</v>
      </c>
      <c r="AK154" s="2">
        <v>13</v>
      </c>
      <c r="AL154" s="2" t="s">
        <v>42</v>
      </c>
      <c r="AM154" s="2" t="s">
        <v>43</v>
      </c>
      <c r="AN154" s="2">
        <v>2</v>
      </c>
      <c r="AO154" s="2">
        <v>7134</v>
      </c>
      <c r="AP154" s="2" t="s">
        <v>328</v>
      </c>
      <c r="AQ154" s="2"/>
      <c r="AR154" s="2" t="s">
        <v>330</v>
      </c>
      <c r="AS154" s="3" t="s">
        <v>331</v>
      </c>
      <c r="AT154" s="2" t="s">
        <v>117</v>
      </c>
      <c r="AU154" s="2" t="s">
        <v>117</v>
      </c>
      <c r="AV154" s="7">
        <v>70.650000000000006</v>
      </c>
      <c r="AW154" s="2">
        <v>2</v>
      </c>
      <c r="AX154" s="2"/>
      <c r="AY154" s="2"/>
    </row>
    <row r="155" spans="1:51" ht="18.75" customHeight="1">
      <c r="A155" t="str">
        <f>"1002201811261044111041"</f>
        <v>1002201811261044111041</v>
      </c>
      <c r="B155" s="9">
        <v>153</v>
      </c>
      <c r="C155" s="2" t="s">
        <v>326</v>
      </c>
      <c r="D155" s="2" t="str">
        <f>"杨蕊亦"</f>
        <v>杨蕊亦</v>
      </c>
      <c r="E155" s="2" t="str">
        <f t="shared" si="87"/>
        <v>女</v>
      </c>
      <c r="F155" s="2" t="str">
        <f>"1997-08-03"</f>
        <v>1997-08-03</v>
      </c>
      <c r="G155" s="2" t="str">
        <f>"320623199708030022"</f>
        <v>320623199708030022</v>
      </c>
      <c r="H155" s="2" t="str">
        <f>"江苏南通"</f>
        <v>江苏南通</v>
      </c>
      <c r="I155" s="2" t="str">
        <f>"应届生"</f>
        <v>应届生</v>
      </c>
      <c r="J155" s="2" t="str">
        <f>"无"</f>
        <v>无</v>
      </c>
      <c r="K155" s="2" t="str">
        <f>"2019.07"</f>
        <v>2019.07</v>
      </c>
      <c r="L155" s="2" t="str">
        <f t="shared" si="84"/>
        <v>学士</v>
      </c>
      <c r="M155" s="2" t="str">
        <f>"常州大学"</f>
        <v>常州大学</v>
      </c>
      <c r="N155" s="2" t="str">
        <f>"会计学"</f>
        <v>会计学</v>
      </c>
      <c r="O155" s="2" t="str">
        <f t="shared" si="79"/>
        <v>本科</v>
      </c>
      <c r="P155" s="2" t="str">
        <f>"171"</f>
        <v>171</v>
      </c>
      <c r="Q155" s="2" t="str">
        <f>"无"</f>
        <v>无</v>
      </c>
      <c r="R155" s="2" t="str">
        <f>"无"</f>
        <v>无</v>
      </c>
      <c r="S155" s="2" t="str">
        <f>"江苏省南通市如东县掘港镇中央广场A区9号楼2单元302"</f>
        <v>江苏省南通市如东县掘港镇中央广场A区9号楼2单元302</v>
      </c>
      <c r="T155" s="2" t="str">
        <f>"226400"</f>
        <v>226400</v>
      </c>
      <c r="U155" s="2" t="str">
        <f>"051384516688"</f>
        <v>051384516688</v>
      </c>
      <c r="V155" s="2" t="str">
        <f>"18262990592"</f>
        <v>18262990592</v>
      </c>
      <c r="W155" s="2" t="str">
        <f>"二级甲等"</f>
        <v>二级甲等</v>
      </c>
      <c r="X155" s="2" t="str">
        <f t="shared" si="74"/>
        <v>否</v>
      </c>
      <c r="Y155" s="2" t="str">
        <f>"大学英语四级513"</f>
        <v>大学英语四级513</v>
      </c>
      <c r="Z155" s="2" t="str">
        <f>"一般"</f>
        <v>一般</v>
      </c>
      <c r="AA155" s="2" t="str">
        <f>"父亲|杨峰|南通瑞派机电安装有限公司|母亲|徐海霞|如东文峰大世界||||||"</f>
        <v>父亲|杨峰|南通瑞派机电安装有限公司|母亲|徐海霞|如东文峰大世界||||||</v>
      </c>
      <c r="AB155" s="2" t="str">
        <f>"2012.09-2015.06 如东县掘港高级中学 学生_x000D_
2015.09-2019.07 常州大学商学院会计学专业 学生"</f>
        <v>2012.09-2015.06 如东县掘港高级中学 学生_x000D_
2015.09-2019.07 常州大学商学院会计学专业 学生</v>
      </c>
      <c r="AC155" s="2" t="str">
        <f t="shared" si="88"/>
        <v>无</v>
      </c>
      <c r="AD155" s="2" t="str">
        <f>"无"</f>
        <v>无</v>
      </c>
      <c r="AE155" s="4">
        <v>43430.677731481483</v>
      </c>
      <c r="AF155" s="2">
        <v>1</v>
      </c>
      <c r="AG155" s="2">
        <v>1</v>
      </c>
      <c r="AH155" s="2">
        <v>2</v>
      </c>
      <c r="AI155" s="2" t="str">
        <f>"18002027905"</f>
        <v>18002027905</v>
      </c>
      <c r="AJ155" s="2">
        <v>79</v>
      </c>
      <c r="AK155" s="2">
        <v>5</v>
      </c>
      <c r="AL155" s="2" t="s">
        <v>42</v>
      </c>
      <c r="AM155" s="2" t="s">
        <v>43</v>
      </c>
      <c r="AN155" s="2">
        <v>2</v>
      </c>
      <c r="AO155" s="2">
        <v>3872</v>
      </c>
      <c r="AP155" s="2" t="s">
        <v>327</v>
      </c>
      <c r="AQ155" s="2"/>
      <c r="AR155" s="2" t="s">
        <v>330</v>
      </c>
      <c r="AS155" s="3" t="s">
        <v>331</v>
      </c>
      <c r="AT155" s="2" t="s">
        <v>117</v>
      </c>
      <c r="AU155" s="2" t="s">
        <v>117</v>
      </c>
      <c r="AV155" s="7">
        <v>70.55</v>
      </c>
      <c r="AW155" s="2">
        <v>3</v>
      </c>
      <c r="AX155" s="2"/>
      <c r="AY155" s="2"/>
    </row>
    <row r="156" spans="1:51" ht="18.75" customHeight="1">
      <c r="A156" t="str">
        <f>"1002201811261803452453"</f>
        <v>1002201811261803452453</v>
      </c>
      <c r="B156" s="9">
        <v>154</v>
      </c>
      <c r="C156" s="2" t="s">
        <v>167</v>
      </c>
      <c r="D156" s="2" t="str">
        <f>"沈伟"</f>
        <v>沈伟</v>
      </c>
      <c r="E156" s="2" t="str">
        <f>"男"</f>
        <v>男</v>
      </c>
      <c r="F156" s="2" t="str">
        <f>"1994-05-14"</f>
        <v>1994-05-14</v>
      </c>
      <c r="G156" s="2" t="str">
        <f>"321284199405144411"</f>
        <v>321284199405144411</v>
      </c>
      <c r="H156" s="2" t="str">
        <f>"江苏省泰州市姜堰区娄庄镇娄东村十五组19号"</f>
        <v>江苏省泰州市姜堰区娄庄镇娄东村十五组19号</v>
      </c>
      <c r="I156" s="2" t="str">
        <f t="shared" ref="I156" si="89">"非应届生"</f>
        <v>非应届生</v>
      </c>
      <c r="J156" s="2" t="str">
        <f t="shared" ref="J156:J161" si="90">"无"</f>
        <v>无</v>
      </c>
      <c r="K156" s="2" t="str">
        <f>"2016.06"</f>
        <v>2016.06</v>
      </c>
      <c r="L156" s="2" t="str">
        <f t="shared" si="84"/>
        <v>学士</v>
      </c>
      <c r="M156" s="2" t="str">
        <f>"南京工业大学"</f>
        <v>南京工业大学</v>
      </c>
      <c r="N156" s="2" t="str">
        <f>"工程造价管理"</f>
        <v>工程造价管理</v>
      </c>
      <c r="O156" s="2" t="str">
        <f t="shared" si="79"/>
        <v>本科</v>
      </c>
      <c r="P156" s="2" t="str">
        <f>"169"</f>
        <v>169</v>
      </c>
      <c r="Q156" s="2" t="str">
        <f>"江苏金堰交通工程有限公司"</f>
        <v>江苏金堰交通工程有限公司</v>
      </c>
      <c r="R156" s="2" t="str">
        <f>"2016.11"</f>
        <v>2016.11</v>
      </c>
      <c r="S156" s="2" t="str">
        <f>"江苏省泰州市姜堰区娄庄镇娄东村十五组19号"</f>
        <v>江苏省泰州市姜堰区娄庄镇娄东村十五组19号</v>
      </c>
      <c r="T156" s="2" t="str">
        <f>"225506"</f>
        <v>225506</v>
      </c>
      <c r="U156" s="2" t="str">
        <f>"0523-88692433"</f>
        <v>0523-88692433</v>
      </c>
      <c r="V156" s="2" t="str">
        <f>"15152952397"</f>
        <v>15152952397</v>
      </c>
      <c r="W156" s="2" t="str">
        <f>"无"</f>
        <v>无</v>
      </c>
      <c r="X156" s="2" t="str">
        <f t="shared" si="74"/>
        <v>否</v>
      </c>
      <c r="Y156" s="2" t="str">
        <f>"英语六级"</f>
        <v>英语六级</v>
      </c>
      <c r="Z156" s="2" t="str">
        <f>"无"</f>
        <v>无</v>
      </c>
      <c r="AA156" s="2" t="str">
        <f>"父亲|沈根民|娄庄镇娄东村|母亲|王桂琴|娄庄镇娄东村||||||"</f>
        <v>父亲|沈根民|娄庄镇娄东村|母亲|王桂琴|娄庄镇娄东村||||||</v>
      </c>
      <c r="AB156" s="2" t="str">
        <f>"2009.09-2012.06 江苏省姜堰中学 学生_x000D_
2012.09-2016.06 南京工业大学 工程造价管理专业 学生_x000D_
2016.06-2016.10 待业_x000D_
2016.11-至今    江苏金堰交通工程有限公司 技术员"</f>
        <v>2009.09-2012.06 江苏省姜堰中学 学生_x000D_
2012.09-2016.06 南京工业大学 工程造价管理专业 学生_x000D_
2016.06-2016.10 待业_x000D_
2016.11-至今    江苏金堰交通工程有限公司 技术员</v>
      </c>
      <c r="AC156" s="2" t="str">
        <f t="shared" si="88"/>
        <v>无</v>
      </c>
      <c r="AD156" s="2" t="str">
        <f>"毕业证书为工程造价管理，学位证书为工程管理（工程造价管理方向），政策咨询可属于建筑工程类"</f>
        <v>毕业证书为工程造价管理，学位证书为工程管理（工程造价管理方向），政策咨询可属于建筑工程类</v>
      </c>
      <c r="AE156" s="4">
        <v>43433.438206018516</v>
      </c>
      <c r="AF156" s="2">
        <v>1</v>
      </c>
      <c r="AG156" s="2">
        <v>1</v>
      </c>
      <c r="AH156" s="2">
        <v>2</v>
      </c>
      <c r="AI156" s="2" t="str">
        <f>"18002012723"</f>
        <v>18002012723</v>
      </c>
      <c r="AJ156" s="2">
        <v>27</v>
      </c>
      <c r="AK156" s="2">
        <v>23</v>
      </c>
      <c r="AL156" s="2" t="s">
        <v>119</v>
      </c>
      <c r="AM156" s="2" t="s">
        <v>120</v>
      </c>
      <c r="AN156" s="2">
        <v>1</v>
      </c>
      <c r="AO156" s="2">
        <v>7913</v>
      </c>
      <c r="AP156" s="2" t="s">
        <v>171</v>
      </c>
      <c r="AQ156" s="2"/>
      <c r="AR156" s="2" t="s">
        <v>330</v>
      </c>
      <c r="AS156" s="3" t="s">
        <v>331</v>
      </c>
      <c r="AT156" s="2" t="s">
        <v>117</v>
      </c>
      <c r="AU156" s="2" t="s">
        <v>117</v>
      </c>
      <c r="AV156" s="7">
        <v>76.349999999999994</v>
      </c>
      <c r="AW156" s="2">
        <v>1</v>
      </c>
      <c r="AX156" s="2"/>
      <c r="AY156" s="2"/>
    </row>
    <row r="157" spans="1:51" ht="18.75" customHeight="1">
      <c r="A157" t="str">
        <f>"1002201811292158596470"</f>
        <v>1002201811292158596470</v>
      </c>
      <c r="B157" s="9">
        <v>155</v>
      </c>
      <c r="C157" s="2" t="s">
        <v>167</v>
      </c>
      <c r="D157" s="2" t="str">
        <f>"刘哲"</f>
        <v>刘哲</v>
      </c>
      <c r="E157" s="2" t="str">
        <f>"女"</f>
        <v>女</v>
      </c>
      <c r="F157" s="2" t="str">
        <f>"1996-10-26"</f>
        <v>1996-10-26</v>
      </c>
      <c r="G157" s="2" t="str">
        <f>"320682199610260209"</f>
        <v>320682199610260209</v>
      </c>
      <c r="H157" s="2" t="str">
        <f>"江苏如皋"</f>
        <v>江苏如皋</v>
      </c>
      <c r="I157" s="2" t="str">
        <f>"应届生"</f>
        <v>应届生</v>
      </c>
      <c r="J157" s="2" t="str">
        <f t="shared" si="90"/>
        <v>无</v>
      </c>
      <c r="K157" s="2" t="str">
        <f>"2018.06"</f>
        <v>2018.06</v>
      </c>
      <c r="L157" s="2" t="str">
        <f t="shared" si="84"/>
        <v>学士</v>
      </c>
      <c r="M157" s="2" t="str">
        <f>"南通大学"</f>
        <v>南通大学</v>
      </c>
      <c r="N157" s="2" t="str">
        <f>"人文地理与城乡规划"</f>
        <v>人文地理与城乡规划</v>
      </c>
      <c r="O157" s="2" t="str">
        <f t="shared" si="79"/>
        <v>本科</v>
      </c>
      <c r="P157" s="2" t="str">
        <f>"168"</f>
        <v>168</v>
      </c>
      <c r="Q157" s="2" t="str">
        <f>"无"</f>
        <v>无</v>
      </c>
      <c r="R157" s="2" t="str">
        <f>"无"</f>
        <v>无</v>
      </c>
      <c r="S157" s="2" t="str">
        <f>"江苏省南通市如皋市如城街道紫竹园303-306"</f>
        <v>江苏省南通市如皋市如城街道紫竹园303-306</v>
      </c>
      <c r="T157" s="2" t="str">
        <f>"226500"</f>
        <v>226500</v>
      </c>
      <c r="U157" s="2" t="str">
        <f>"051387656865"</f>
        <v>051387656865</v>
      </c>
      <c r="V157" s="2" t="str">
        <f>"15996608996"</f>
        <v>15996608996</v>
      </c>
      <c r="W157" s="2" t="str">
        <f>"二级乙等"</f>
        <v>二级乙等</v>
      </c>
      <c r="X157" s="2" t="str">
        <f t="shared" si="74"/>
        <v>否</v>
      </c>
      <c r="Y157" s="2" t="str">
        <f>"英语六级"</f>
        <v>英语六级</v>
      </c>
      <c r="Z157" s="2" t="str">
        <f>"计算机二级"</f>
        <v>计算机二级</v>
      </c>
      <c r="AA157" s="2" t="str">
        <f>"父女|刘小兵|中信证券如皋营业部|母女|顾爱红|南通佩尔斯大酒店||||||"</f>
        <v>父女|刘小兵|中信证券如皋营业部|母女|顾爱红|南通佩尔斯大酒店||||||</v>
      </c>
      <c r="AB157" s="2" t="str">
        <f>"2011.09-2014.06 如皋中学 学生_x000D_
2014.09-2018.06 南通大学 学生"</f>
        <v>2011.09-2014.06 如皋中学 学生_x000D_
2014.09-2018.06 南通大学 学生</v>
      </c>
      <c r="AC157" s="2" t="str">
        <f t="shared" si="88"/>
        <v>无</v>
      </c>
      <c r="AD157" s="2" t="str">
        <f>"无"</f>
        <v>无</v>
      </c>
      <c r="AE157" s="4">
        <v>43434.458020833335</v>
      </c>
      <c r="AF157" s="2">
        <v>1</v>
      </c>
      <c r="AG157" s="2">
        <v>1</v>
      </c>
      <c r="AH157" s="2">
        <v>7</v>
      </c>
      <c r="AI157" s="2" t="str">
        <f>"18002012714"</f>
        <v>18002012714</v>
      </c>
      <c r="AJ157" s="2">
        <v>27</v>
      </c>
      <c r="AK157" s="2">
        <v>14</v>
      </c>
      <c r="AL157" s="2" t="s">
        <v>119</v>
      </c>
      <c r="AM157" s="2" t="s">
        <v>120</v>
      </c>
      <c r="AN157" s="2">
        <v>1</v>
      </c>
      <c r="AO157" s="2">
        <v>5560</v>
      </c>
      <c r="AP157" s="2" t="s">
        <v>170</v>
      </c>
      <c r="AQ157" s="2"/>
      <c r="AR157" s="2" t="s">
        <v>330</v>
      </c>
      <c r="AS157" s="3" t="s">
        <v>331</v>
      </c>
      <c r="AT157" s="2" t="s">
        <v>117</v>
      </c>
      <c r="AU157" s="2" t="s">
        <v>117</v>
      </c>
      <c r="AV157" s="7">
        <v>74.099999999999994</v>
      </c>
      <c r="AW157" s="2">
        <v>2</v>
      </c>
      <c r="AX157" s="2"/>
      <c r="AY157" s="2"/>
    </row>
    <row r="158" spans="1:51" ht="18.75" customHeight="1">
      <c r="A158" t="str">
        <f>"1002201811291530396010"</f>
        <v>1002201811291530396010</v>
      </c>
      <c r="B158" s="9">
        <v>156</v>
      </c>
      <c r="C158" s="2" t="s">
        <v>167</v>
      </c>
      <c r="D158" s="2" t="str">
        <f>"陈佳伟"</f>
        <v>陈佳伟</v>
      </c>
      <c r="E158" s="2" t="str">
        <f>"男"</f>
        <v>男</v>
      </c>
      <c r="F158" s="2" t="str">
        <f>"1995-02-02"</f>
        <v>1995-02-02</v>
      </c>
      <c r="G158" s="2" t="str">
        <f>"320682199502026458"</f>
        <v>320682199502026458</v>
      </c>
      <c r="H158" s="2" t="str">
        <f>"江苏省如皋市"</f>
        <v>江苏省如皋市</v>
      </c>
      <c r="I158" s="2" t="str">
        <f t="shared" ref="I158:I164" si="91">"非应届生"</f>
        <v>非应届生</v>
      </c>
      <c r="J158" s="2" t="str">
        <f t="shared" si="90"/>
        <v>无</v>
      </c>
      <c r="K158" s="2" t="str">
        <f>"2017.06"</f>
        <v>2017.06</v>
      </c>
      <c r="L158" s="2" t="str">
        <f t="shared" si="84"/>
        <v>学士</v>
      </c>
      <c r="M158" s="2" t="str">
        <f>"南京工程学院"</f>
        <v>南京工程学院</v>
      </c>
      <c r="N158" s="2" t="str">
        <f>"土木工程（建筑工程管理）"</f>
        <v>土木工程（建筑工程管理）</v>
      </c>
      <c r="O158" s="2" t="str">
        <f t="shared" si="79"/>
        <v>本科</v>
      </c>
      <c r="P158" s="2" t="str">
        <f>"168"</f>
        <v>168</v>
      </c>
      <c r="Q158" s="2" t="str">
        <f>"无"</f>
        <v>无</v>
      </c>
      <c r="R158" s="2" t="str">
        <f>"无"</f>
        <v>无</v>
      </c>
      <c r="S158" s="2" t="str">
        <f>"江苏省如皋市搬经镇17组80号"</f>
        <v>江苏省如皋市搬经镇17组80号</v>
      </c>
      <c r="T158" s="2" t="str">
        <f>"226500"</f>
        <v>226500</v>
      </c>
      <c r="U158" s="2" t="str">
        <f>"0513-88502336"</f>
        <v>0513-88502336</v>
      </c>
      <c r="V158" s="2" t="str">
        <f>"13584680569"</f>
        <v>13584680569</v>
      </c>
      <c r="W158" s="2" t="str">
        <f>"无"</f>
        <v>无</v>
      </c>
      <c r="X158" s="2" t="str">
        <f t="shared" si="74"/>
        <v>否</v>
      </c>
      <c r="Y158" s="2" t="str">
        <f>"四级"</f>
        <v>四级</v>
      </c>
      <c r="Z158" s="2" t="str">
        <f>"全国二级"</f>
        <v>全国二级</v>
      </c>
      <c r="AA158" s="2" t="str">
        <f>"母亲|陈山凤|务农|||||||||"</f>
        <v>母亲|陈山凤|务农|||||||||</v>
      </c>
      <c r="AB158" s="2" t="str">
        <f>"2010.09-2013.06 如皋市搬经中学 学生_x000D_
2013.09-2017.06 南京工程学院建筑院建筑工程管理 学生"</f>
        <v>2010.09-2013.06 如皋市搬经中学 学生_x000D_
2013.09-2017.06 南京工程学院建筑院建筑工程管理 学生</v>
      </c>
      <c r="AC158" s="2" t="str">
        <f t="shared" si="88"/>
        <v>无</v>
      </c>
      <c r="AD158" s="2" t="str">
        <f>"无"</f>
        <v>无</v>
      </c>
      <c r="AE158" s="4">
        <v>43434.474814814814</v>
      </c>
      <c r="AF158" s="2">
        <v>1</v>
      </c>
      <c r="AG158" s="2">
        <v>1</v>
      </c>
      <c r="AH158" s="2">
        <v>3</v>
      </c>
      <c r="AI158" s="2" t="str">
        <f>"18002012625"</f>
        <v>18002012625</v>
      </c>
      <c r="AJ158" s="2">
        <v>26</v>
      </c>
      <c r="AK158" s="2">
        <v>25</v>
      </c>
      <c r="AL158" s="2" t="s">
        <v>119</v>
      </c>
      <c r="AM158" s="2" t="s">
        <v>120</v>
      </c>
      <c r="AN158" s="2">
        <v>1</v>
      </c>
      <c r="AO158" s="2">
        <v>3459</v>
      </c>
      <c r="AP158" s="2" t="s">
        <v>169</v>
      </c>
      <c r="AQ158" s="2"/>
      <c r="AR158" s="2" t="s">
        <v>330</v>
      </c>
      <c r="AS158" s="3" t="s">
        <v>331</v>
      </c>
      <c r="AT158" s="2" t="s">
        <v>117</v>
      </c>
      <c r="AU158" s="2" t="s">
        <v>117</v>
      </c>
      <c r="AV158" s="7">
        <v>70.5</v>
      </c>
      <c r="AW158" s="2">
        <v>3</v>
      </c>
      <c r="AX158" s="2"/>
      <c r="AY158" s="2"/>
    </row>
    <row r="159" spans="1:51" ht="18.75" customHeight="1">
      <c r="A159" t="str">
        <f>"1002201811270019103076"</f>
        <v>1002201811270019103076</v>
      </c>
      <c r="B159" s="9">
        <v>157</v>
      </c>
      <c r="C159" s="2" t="s">
        <v>172</v>
      </c>
      <c r="D159" s="2" t="str">
        <f>"葛茹娴"</f>
        <v>葛茹娴</v>
      </c>
      <c r="E159" s="2" t="str">
        <f>"女"</f>
        <v>女</v>
      </c>
      <c r="F159" s="2" t="str">
        <f>"1996-08-10"</f>
        <v>1996-08-10</v>
      </c>
      <c r="G159" s="2" t="str">
        <f>"321088199608101387"</f>
        <v>321088199608101387</v>
      </c>
      <c r="H159" s="2" t="str">
        <f>"江苏扬州"</f>
        <v>江苏扬州</v>
      </c>
      <c r="I159" s="2" t="str">
        <f t="shared" si="91"/>
        <v>非应届生</v>
      </c>
      <c r="J159" s="2" t="str">
        <f t="shared" si="90"/>
        <v>无</v>
      </c>
      <c r="K159" s="2" t="str">
        <f>"2018.06"</f>
        <v>2018.06</v>
      </c>
      <c r="L159" s="2" t="str">
        <f t="shared" si="84"/>
        <v>学士</v>
      </c>
      <c r="M159" s="2" t="str">
        <f>"南京师范大学"</f>
        <v>南京师范大学</v>
      </c>
      <c r="N159" s="2" t="str">
        <f>"人力资源管理"</f>
        <v>人力资源管理</v>
      </c>
      <c r="O159" s="2" t="str">
        <f t="shared" si="79"/>
        <v>本科</v>
      </c>
      <c r="P159" s="2" t="str">
        <f>"155"</f>
        <v>155</v>
      </c>
      <c r="Q159" s="2" t="str">
        <f>"梦想培训"</f>
        <v>梦想培训</v>
      </c>
      <c r="R159" s="2" t="str">
        <f>"2018.06"</f>
        <v>2018.06</v>
      </c>
      <c r="S159" s="2" t="str">
        <f>"江苏省扬州市江都区仙女镇龙城路花园新村"</f>
        <v>江苏省扬州市江都区仙女镇龙城路花园新村</v>
      </c>
      <c r="T159" s="2" t="str">
        <f>"225200"</f>
        <v>225200</v>
      </c>
      <c r="U159" s="2" t="str">
        <f>"无"</f>
        <v>无</v>
      </c>
      <c r="V159" s="2" t="str">
        <f>"18705256211"</f>
        <v>18705256211</v>
      </c>
      <c r="W159" s="2" t="str">
        <f>"二级甲等"</f>
        <v>二级甲等</v>
      </c>
      <c r="X159" s="2" t="str">
        <f t="shared" si="74"/>
        <v>否</v>
      </c>
      <c r="Y159" s="2" t="str">
        <f>"英语六级"</f>
        <v>英语六级</v>
      </c>
      <c r="Z159" s="2" t="str">
        <f>"计算机二级"</f>
        <v>计算机二级</v>
      </c>
      <c r="AA159" s="2" t="str">
        <f>"父女|葛乃柏|天城体育用品有限公司|母女|朱丽娟|无||||||"</f>
        <v>父女|葛乃柏|天城体育用品有限公司|母女|朱丽娟|无||||||</v>
      </c>
      <c r="AB159" s="2" t="str">
        <f>"2011.09-2014.06 江苏省江都中学 学生_x000D_
2014.09-2018.06 南京师范大学人力资源管理专业 学生_x000D_
2018.10至今 梦想培训 职员"</f>
        <v>2011.09-2014.06 江苏省江都中学 学生_x000D_
2014.09-2018.06 南京师范大学人力资源管理专业 学生_x000D_
2018.10至今 梦想培训 职员</v>
      </c>
      <c r="AC159" s="2" t="str">
        <f>"无"</f>
        <v>无</v>
      </c>
      <c r="AD159" s="2" t="str">
        <f>""</f>
        <v/>
      </c>
      <c r="AE159" s="4">
        <v>43431.641168981485</v>
      </c>
      <c r="AF159" s="2">
        <v>1</v>
      </c>
      <c r="AG159" s="2">
        <v>1</v>
      </c>
      <c r="AH159" s="2">
        <v>3</v>
      </c>
      <c r="AI159" s="2" t="str">
        <f>"18002012909"</f>
        <v>18002012909</v>
      </c>
      <c r="AJ159" s="2">
        <v>29</v>
      </c>
      <c r="AK159" s="2">
        <v>9</v>
      </c>
      <c r="AL159" s="2" t="s">
        <v>119</v>
      </c>
      <c r="AM159" s="2" t="s">
        <v>120</v>
      </c>
      <c r="AN159" s="2">
        <v>1</v>
      </c>
      <c r="AO159" s="2">
        <v>2307</v>
      </c>
      <c r="AP159" s="2" t="s">
        <v>174</v>
      </c>
      <c r="AQ159" s="2"/>
      <c r="AR159" s="2" t="s">
        <v>330</v>
      </c>
      <c r="AS159" s="3" t="s">
        <v>331</v>
      </c>
      <c r="AT159" s="2" t="s">
        <v>117</v>
      </c>
      <c r="AU159" s="2" t="s">
        <v>117</v>
      </c>
      <c r="AV159" s="7">
        <v>73.8</v>
      </c>
      <c r="AW159" s="2">
        <v>1</v>
      </c>
      <c r="AX159" s="2"/>
      <c r="AY159" s="2"/>
    </row>
    <row r="160" spans="1:51" ht="18.75" customHeight="1">
      <c r="A160" t="str">
        <f>"1002201811271058473468"</f>
        <v>1002201811271058473468</v>
      </c>
      <c r="B160" s="9">
        <v>158</v>
      </c>
      <c r="C160" s="2" t="s">
        <v>172</v>
      </c>
      <c r="D160" s="2" t="str">
        <f>"杨菁菁"</f>
        <v>杨菁菁</v>
      </c>
      <c r="E160" s="2" t="str">
        <f>"女"</f>
        <v>女</v>
      </c>
      <c r="F160" s="2" t="str">
        <f>"1994-06-10"</f>
        <v>1994-06-10</v>
      </c>
      <c r="G160" s="2" t="str">
        <f>"320682199406100486"</f>
        <v>320682199406100486</v>
      </c>
      <c r="H160" s="2" t="str">
        <f>"南通如皋"</f>
        <v>南通如皋</v>
      </c>
      <c r="I160" s="2" t="str">
        <f t="shared" si="91"/>
        <v>非应届生</v>
      </c>
      <c r="J160" s="2" t="str">
        <f t="shared" si="90"/>
        <v>无</v>
      </c>
      <c r="K160" s="2" t="str">
        <f>"2016.06"</f>
        <v>2016.06</v>
      </c>
      <c r="L160" s="2" t="str">
        <f t="shared" si="84"/>
        <v>学士</v>
      </c>
      <c r="M160" s="2" t="str">
        <f>"扬州大学"</f>
        <v>扬州大学</v>
      </c>
      <c r="N160" s="2" t="str">
        <f>"电子商务"</f>
        <v>电子商务</v>
      </c>
      <c r="O160" s="2" t="str">
        <f t="shared" si="79"/>
        <v>本科</v>
      </c>
      <c r="P160" s="2" t="str">
        <f>"163"</f>
        <v>163</v>
      </c>
      <c r="Q160" s="2" t="str">
        <f>"上海红星美凯龙品牌管理有限公司如皋分公司"</f>
        <v>上海红星美凯龙品牌管理有限公司如皋分公司</v>
      </c>
      <c r="R160" s="2" t="str">
        <f>"2016.07"</f>
        <v>2016.07</v>
      </c>
      <c r="S160" s="2" t="str">
        <f>"江苏省南通市如皋城南街道龙游河小区9号1301"</f>
        <v>江苏省南通市如皋城南街道龙游河小区9号1301</v>
      </c>
      <c r="T160" s="2" t="str">
        <f>"226500"</f>
        <v>226500</v>
      </c>
      <c r="U160" s="2" t="str">
        <f>"无"</f>
        <v>无</v>
      </c>
      <c r="V160" s="2" t="str">
        <f>"13626299695"</f>
        <v>13626299695</v>
      </c>
      <c r="W160" s="2" t="str">
        <f>"无"</f>
        <v>无</v>
      </c>
      <c r="X160" s="2" t="str">
        <f t="shared" si="74"/>
        <v>否</v>
      </c>
      <c r="Y160" s="2" t="str">
        <f>"英语六级"</f>
        <v>英语六级</v>
      </c>
      <c r="Z160" s="2" t="str">
        <f>"全国计算机二级"</f>
        <v>全国计算机二级</v>
      </c>
      <c r="AA160" s="2" t="str">
        <f>"父亲|杨蔚|如皋知雅楼餐厅|母亲|田志兰|如皋爱华服装厂||||||"</f>
        <v>父亲|杨蔚|如皋知雅楼餐厅|母亲|田志兰|如皋爱华服装厂||||||</v>
      </c>
      <c r="AB160" s="2" t="str">
        <f>"2009.09-2012.06 如皋市第一中学 学生_x000D_
2012.09-2016.06 扬州大学电子商务专业 学生_x000D_
2016.07-2018.01 哈森商贸（中国）股份有限公司 职员_x000D_
2018.04-至今 上海红星美凯龙品牌管理有限公司如皋分公司 职员"</f>
        <v>2009.09-2012.06 如皋市第一中学 学生_x000D_
2012.09-2016.06 扬州大学电子商务专业 学生_x000D_
2016.07-2018.01 哈森商贸（中国）股份有限公司 职员_x000D_
2018.04-至今 上海红星美凯龙品牌管理有限公司如皋分公司 职员</v>
      </c>
      <c r="AC160" s="2" t="str">
        <f>"无"</f>
        <v>无</v>
      </c>
      <c r="AD160" s="2" t="str">
        <f>""</f>
        <v/>
      </c>
      <c r="AE160" s="4">
        <v>43431.476597222223</v>
      </c>
      <c r="AF160" s="2">
        <v>1</v>
      </c>
      <c r="AG160" s="2">
        <v>1</v>
      </c>
      <c r="AH160" s="2">
        <v>2</v>
      </c>
      <c r="AI160" s="2" t="str">
        <f>"18002013009"</f>
        <v>18002013009</v>
      </c>
      <c r="AJ160" s="2">
        <v>30</v>
      </c>
      <c r="AK160" s="2">
        <v>9</v>
      </c>
      <c r="AL160" s="2" t="s">
        <v>119</v>
      </c>
      <c r="AM160" s="2" t="s">
        <v>120</v>
      </c>
      <c r="AN160" s="2">
        <v>1</v>
      </c>
      <c r="AO160" s="2">
        <v>3615</v>
      </c>
      <c r="AP160" s="2" t="s">
        <v>175</v>
      </c>
      <c r="AQ160" s="2"/>
      <c r="AR160" s="2" t="s">
        <v>330</v>
      </c>
      <c r="AS160" s="3" t="s">
        <v>331</v>
      </c>
      <c r="AT160" s="2" t="s">
        <v>117</v>
      </c>
      <c r="AU160" s="2" t="s">
        <v>117</v>
      </c>
      <c r="AV160" s="7">
        <v>73.349999999999994</v>
      </c>
      <c r="AW160" s="2">
        <v>2</v>
      </c>
      <c r="AX160" s="2"/>
      <c r="AY160" s="2"/>
    </row>
    <row r="161" spans="1:51" ht="18.75" customHeight="1">
      <c r="A161" t="str">
        <f>"1002201811261853152550"</f>
        <v>1002201811261853152550</v>
      </c>
      <c r="B161" s="9">
        <v>159</v>
      </c>
      <c r="C161" s="2" t="s">
        <v>172</v>
      </c>
      <c r="D161" s="2" t="str">
        <f>"王丽丽"</f>
        <v>王丽丽</v>
      </c>
      <c r="E161" s="2" t="str">
        <f>"女"</f>
        <v>女</v>
      </c>
      <c r="F161" s="2" t="str">
        <f>"1994-12-28"</f>
        <v>1994-12-28</v>
      </c>
      <c r="G161" s="2" t="str">
        <f>"321284199412288042"</f>
        <v>321284199412288042</v>
      </c>
      <c r="H161" s="2" t="str">
        <f>"江苏省泰州市姜堰区"</f>
        <v>江苏省泰州市姜堰区</v>
      </c>
      <c r="I161" s="2" t="str">
        <f t="shared" si="91"/>
        <v>非应届生</v>
      </c>
      <c r="J161" s="2" t="str">
        <f t="shared" si="90"/>
        <v>无</v>
      </c>
      <c r="K161" s="2" t="str">
        <f>"2017.06"</f>
        <v>2017.06</v>
      </c>
      <c r="L161" s="2" t="str">
        <f t="shared" si="84"/>
        <v>学士</v>
      </c>
      <c r="M161" s="2" t="str">
        <f>"中国药科大学国际医药商学院"</f>
        <v>中国药科大学国际医药商学院</v>
      </c>
      <c r="N161" s="2" t="str">
        <f>"市场营销"</f>
        <v>市场营销</v>
      </c>
      <c r="O161" s="2" t="str">
        <f t="shared" si="79"/>
        <v>本科</v>
      </c>
      <c r="P161" s="2" t="str">
        <f>"160"</f>
        <v>160</v>
      </c>
      <c r="Q161" s="2" t="str">
        <f>"无"</f>
        <v>无</v>
      </c>
      <c r="R161" s="2" t="str">
        <f>"无"</f>
        <v>无</v>
      </c>
      <c r="S161" s="2" t="str">
        <f>"泰州市姜堰区怡园新村420号楼209室"</f>
        <v>泰州市姜堰区怡园新村420号楼209室</v>
      </c>
      <c r="T161" s="2" t="str">
        <f>"225500"</f>
        <v>225500</v>
      </c>
      <c r="U161" s="2" t="str">
        <f>"0523-88392868"</f>
        <v>0523-88392868</v>
      </c>
      <c r="V161" s="2" t="str">
        <f>"15252668592"</f>
        <v>15252668592</v>
      </c>
      <c r="W161" s="2" t="str">
        <f>"二级乙等"</f>
        <v>二级乙等</v>
      </c>
      <c r="X161" s="2" t="str">
        <f t="shared" si="74"/>
        <v>否</v>
      </c>
      <c r="Y161" s="2" t="str">
        <f>"英语六级"</f>
        <v>英语六级</v>
      </c>
      <c r="Z161" s="2" t="str">
        <f>"熟练使用计算机"</f>
        <v>熟练使用计算机</v>
      </c>
      <c r="AA161" s="2" t="str">
        <f>"父亲|王传生|姜堰华洋液化气公司|母亲|俞华凤|自由职业||||||"</f>
        <v>父亲|王传生|姜堰华洋液化气公司|母亲|俞华凤|自由职业||||||</v>
      </c>
      <c r="AB161" s="2" t="str">
        <f>"2010.09-2013.06 姜堰中学 学生_x000D_
2013.09-2017.06 中国药科大学国际医药商学院市场营销专业 学生_x000D_
2017.07至今待业备考"</f>
        <v>2010.09-2013.06 姜堰中学 学生_x000D_
2013.09-2017.06 中国药科大学国际医药商学院市场营销专业 学生_x000D_
2017.07至今待业备考</v>
      </c>
      <c r="AC161" s="2" t="str">
        <f>"无"</f>
        <v>无</v>
      </c>
      <c r="AD161" s="2" t="str">
        <f>""</f>
        <v/>
      </c>
      <c r="AE161" s="4">
        <v>43431.40011574074</v>
      </c>
      <c r="AF161" s="2">
        <v>1</v>
      </c>
      <c r="AG161" s="2">
        <v>1</v>
      </c>
      <c r="AH161" s="2">
        <v>2</v>
      </c>
      <c r="AI161" s="2" t="str">
        <f>"18002012818"</f>
        <v>18002012818</v>
      </c>
      <c r="AJ161" s="2">
        <v>28</v>
      </c>
      <c r="AK161" s="2">
        <v>18</v>
      </c>
      <c r="AL161" s="2" t="s">
        <v>119</v>
      </c>
      <c r="AM161" s="2" t="s">
        <v>120</v>
      </c>
      <c r="AN161" s="2">
        <v>1</v>
      </c>
      <c r="AO161" s="2">
        <v>707</v>
      </c>
      <c r="AP161" s="2" t="s">
        <v>173</v>
      </c>
      <c r="AQ161" s="2"/>
      <c r="AR161" s="2" t="s">
        <v>330</v>
      </c>
      <c r="AS161" s="3" t="s">
        <v>331</v>
      </c>
      <c r="AT161" s="2" t="s">
        <v>117</v>
      </c>
      <c r="AU161" s="2" t="s">
        <v>117</v>
      </c>
      <c r="AV161" s="7">
        <v>73</v>
      </c>
      <c r="AW161" s="2">
        <v>3</v>
      </c>
      <c r="AX161" s="2"/>
      <c r="AY161" s="2"/>
    </row>
    <row r="162" spans="1:51" ht="18.75" customHeight="1">
      <c r="A162" t="str">
        <f>"1002201811261455091982"</f>
        <v>1002201811261455091982</v>
      </c>
      <c r="B162" s="9">
        <v>160</v>
      </c>
      <c r="C162" s="2" t="s">
        <v>176</v>
      </c>
      <c r="D162" s="2" t="str">
        <f>"蔚楠"</f>
        <v>蔚楠</v>
      </c>
      <c r="E162" s="2" t="str">
        <f>"女"</f>
        <v>女</v>
      </c>
      <c r="F162" s="2" t="str">
        <f>"1995-11-13"</f>
        <v>1995-11-13</v>
      </c>
      <c r="G162" s="2" t="str">
        <f>"140602199511130024"</f>
        <v>140602199511130024</v>
      </c>
      <c r="H162" s="2" t="str">
        <f>"山西省朔州市"</f>
        <v>山西省朔州市</v>
      </c>
      <c r="I162" s="2" t="str">
        <f t="shared" si="91"/>
        <v>非应届生</v>
      </c>
      <c r="J162" s="2" t="str">
        <f>"无"</f>
        <v>无</v>
      </c>
      <c r="K162" s="2" t="str">
        <f>"2017.07"</f>
        <v>2017.07</v>
      </c>
      <c r="L162" s="2" t="str">
        <f t="shared" si="84"/>
        <v>学士</v>
      </c>
      <c r="M162" s="2" t="str">
        <f>"吉林师范大学"</f>
        <v>吉林师范大学</v>
      </c>
      <c r="N162" s="2" t="str">
        <f>"电子信息工程专业"</f>
        <v>电子信息工程专业</v>
      </c>
      <c r="O162" s="2" t="str">
        <f t="shared" si="79"/>
        <v>本科</v>
      </c>
      <c r="P162" s="2" t="str">
        <f>"159"</f>
        <v>159</v>
      </c>
      <c r="Q162" s="2" t="str">
        <f>"晋中市国土局"</f>
        <v>晋中市国土局</v>
      </c>
      <c r="R162" s="2" t="str">
        <f>"2018.09"</f>
        <v>2018.09</v>
      </c>
      <c r="S162" s="2" t="str">
        <f>"山西省晋中市榆次区晋中市国土局"</f>
        <v>山西省晋中市榆次区晋中市国土局</v>
      </c>
      <c r="T162" s="2" t="str">
        <f>"030600"</f>
        <v>030600</v>
      </c>
      <c r="U162" s="2" t="str">
        <f>"18734902865"</f>
        <v>18734902865</v>
      </c>
      <c r="V162" s="2" t="str">
        <f>"18734902865"</f>
        <v>18734902865</v>
      </c>
      <c r="W162" s="2" t="str">
        <f>"二级甲等"</f>
        <v>二级甲等</v>
      </c>
      <c r="X162" s="2" t="str">
        <f>"否"</f>
        <v>否</v>
      </c>
      <c r="Y162" s="2" t="str">
        <f>"英语四级，口语三级"</f>
        <v>英语四级，口语三级</v>
      </c>
      <c r="Z162" s="2" t="str">
        <f>"计算机二级C语言"</f>
        <v>计算机二级C语言</v>
      </c>
      <c r="AA162" s="2" t="str">
        <f>"父女|蔚明山|个体|母女|郝文芳|个体|姐弟|蔚峰|朔城区第一中学|||"</f>
        <v>父女|蔚明山|个体|母女|郝文芳|个体|姐弟|蔚峰|朔城区第一中学|||</v>
      </c>
      <c r="AB162" s="2" t="str">
        <f>"2010.09-2013.07 朔城区第一中学      学生_x000D_
2013.09-2017.07 吉林师范大学         学生_x000D_
2018.09至今   晋中市国土资源局   职员"</f>
        <v>2010.09-2013.07 朔城区第一中学      学生_x000D_
2013.09-2017.07 吉林师范大学         学生_x000D_
2018.09至今   晋中市国土资源局   职员</v>
      </c>
      <c r="AC162" s="2" t="str">
        <f t="shared" ref="AC162:AC169" si="92">"无"</f>
        <v>无</v>
      </c>
      <c r="AD162" s="2" t="str">
        <f>""</f>
        <v/>
      </c>
      <c r="AE162" s="4">
        <v>43430.641631944447</v>
      </c>
      <c r="AF162" s="2">
        <v>1</v>
      </c>
      <c r="AG162" s="2">
        <v>1</v>
      </c>
      <c r="AH162" s="2">
        <v>5</v>
      </c>
      <c r="AI162" s="2" t="str">
        <f>"18002013425"</f>
        <v>18002013425</v>
      </c>
      <c r="AJ162" s="2">
        <v>34</v>
      </c>
      <c r="AK162" s="2">
        <v>25</v>
      </c>
      <c r="AL162" s="2" t="s">
        <v>119</v>
      </c>
      <c r="AM162" s="2" t="s">
        <v>120</v>
      </c>
      <c r="AN162" s="2">
        <v>1</v>
      </c>
      <c r="AO162" s="2">
        <v>5624</v>
      </c>
      <c r="AP162" s="2" t="s">
        <v>179</v>
      </c>
      <c r="AQ162" s="2"/>
      <c r="AR162" s="2" t="s">
        <v>330</v>
      </c>
      <c r="AS162" s="3" t="s">
        <v>331</v>
      </c>
      <c r="AT162" s="2" t="s">
        <v>117</v>
      </c>
      <c r="AU162" s="2" t="s">
        <v>117</v>
      </c>
      <c r="AV162" s="7">
        <v>73.55</v>
      </c>
      <c r="AW162" s="2">
        <v>1</v>
      </c>
      <c r="AX162" s="2"/>
      <c r="AY162" s="2"/>
    </row>
    <row r="163" spans="1:51" ht="18.75" customHeight="1">
      <c r="A163" t="str">
        <f>"1002201811291804386169"</f>
        <v>1002201811291804386169</v>
      </c>
      <c r="B163" s="9">
        <v>161</v>
      </c>
      <c r="C163" s="2" t="s">
        <v>176</v>
      </c>
      <c r="D163" s="2" t="str">
        <f>"倪黎"</f>
        <v>倪黎</v>
      </c>
      <c r="E163" s="2" t="str">
        <f>"男"</f>
        <v>男</v>
      </c>
      <c r="F163" s="2" t="str">
        <f>"1987-09-19"</f>
        <v>1987-09-19</v>
      </c>
      <c r="G163" s="2" t="str">
        <f>"32098219870919379X"</f>
        <v>32098219870919379X</v>
      </c>
      <c r="H163" s="2" t="str">
        <f>"江苏省盐城市大丰区"</f>
        <v>江苏省盐城市大丰区</v>
      </c>
      <c r="I163" s="2" t="str">
        <f t="shared" si="91"/>
        <v>非应届生</v>
      </c>
      <c r="J163" s="2" t="str">
        <f>"初级电工"</f>
        <v>初级电工</v>
      </c>
      <c r="K163" s="2" t="str">
        <f>"2009.07"</f>
        <v>2009.07</v>
      </c>
      <c r="L163" s="2" t="str">
        <f t="shared" si="84"/>
        <v>学士</v>
      </c>
      <c r="M163" s="2" t="str">
        <f>"西安电子科技大学"</f>
        <v>西安电子科技大学</v>
      </c>
      <c r="N163" s="2" t="str">
        <f>"通信工程"</f>
        <v>通信工程</v>
      </c>
      <c r="O163" s="2" t="str">
        <f t="shared" si="79"/>
        <v>本科</v>
      </c>
      <c r="P163" s="2" t="str">
        <f>"172"</f>
        <v>172</v>
      </c>
      <c r="Q163" s="2" t="str">
        <f>"大丰区王港闸"</f>
        <v>大丰区王港闸</v>
      </c>
      <c r="R163" s="2" t="str">
        <f>"2009.09"</f>
        <v>2009.09</v>
      </c>
      <c r="S163" s="2" t="str">
        <f>"江苏省盐城市大丰区丰和名都19#401"</f>
        <v>江苏省盐城市大丰区丰和名都19#401</v>
      </c>
      <c r="T163" s="2" t="str">
        <f>"22410"</f>
        <v>22410</v>
      </c>
      <c r="U163" s="2" t="str">
        <f>"无"</f>
        <v>无</v>
      </c>
      <c r="V163" s="2" t="str">
        <f>"13814305731"</f>
        <v>13814305731</v>
      </c>
      <c r="W163" s="2" t="str">
        <f>"无"</f>
        <v>无</v>
      </c>
      <c r="X163" s="2" t="str">
        <f>"是"</f>
        <v>是</v>
      </c>
      <c r="Y163" s="2" t="str">
        <f>"英语四级"</f>
        <v>英语四级</v>
      </c>
      <c r="Z163" s="2" t="str">
        <f>"计算机二级"</f>
        <v>计算机二级</v>
      </c>
      <c r="AA163" s="2" t="str">
        <f>"母亲|朱银莲|大丰区小海镇中心小学|父亲|倪志云|大丰区小海中学|妻子|顾海琴|大丰区农工办|女儿|倪泽钰|儿童"</f>
        <v>母亲|朱银莲|大丰区小海镇中心小学|父亲|倪志云|大丰区小海中学|妻子|顾海琴|大丰区农工办|女儿|倪泽钰|儿童</v>
      </c>
      <c r="AB163" s="2" t="str">
        <f>"2002.09-2005.06 大丰高级中学 学生_x000D_
2005.09-2009.06 西安电子科技大学 学生_x000D_
2009.10-2011.12 部队 服役_x000D_
2012.02-2013.02 广东私企 品管_x000D_
2013.05-2014.05 大丰区网情中心 职员_x000D_
2014.08至今 大丰区王港闸 劳务派遣电工_x000D_
"</f>
        <v xml:space="preserve">2002.09-2005.06 大丰高级中学 学生_x000D_
2005.09-2009.06 西安电子科技大学 学生_x000D_
2009.10-2011.12 部队 服役_x000D_
2012.02-2013.02 广东私企 品管_x000D_
2013.05-2014.05 大丰区网情中心 职员_x000D_
2014.08至今 大丰区王港闸 劳务派遣电工_x000D_
</v>
      </c>
      <c r="AC163" s="2" t="str">
        <f t="shared" si="92"/>
        <v>无</v>
      </c>
      <c r="AD163" s="2" t="str">
        <f>""</f>
        <v/>
      </c>
      <c r="AE163" s="4">
        <v>43434.427916666667</v>
      </c>
      <c r="AF163" s="2">
        <v>1</v>
      </c>
      <c r="AG163" s="2">
        <v>1</v>
      </c>
      <c r="AH163" s="2">
        <v>1</v>
      </c>
      <c r="AI163" s="2" t="str">
        <f>"18002013407"</f>
        <v>18002013407</v>
      </c>
      <c r="AJ163" s="2">
        <v>34</v>
      </c>
      <c r="AK163" s="2">
        <v>7</v>
      </c>
      <c r="AL163" s="2" t="s">
        <v>119</v>
      </c>
      <c r="AM163" s="2" t="s">
        <v>120</v>
      </c>
      <c r="AN163" s="2">
        <v>1</v>
      </c>
      <c r="AO163" s="2">
        <v>4024</v>
      </c>
      <c r="AP163" s="2" t="s">
        <v>178</v>
      </c>
      <c r="AQ163" s="2"/>
      <c r="AR163" s="2" t="s">
        <v>330</v>
      </c>
      <c r="AS163" s="3" t="s">
        <v>331</v>
      </c>
      <c r="AT163" s="2" t="s">
        <v>117</v>
      </c>
      <c r="AU163" s="2" t="s">
        <v>117</v>
      </c>
      <c r="AV163" s="7">
        <v>70.5</v>
      </c>
      <c r="AW163" s="2">
        <v>2</v>
      </c>
      <c r="AX163" s="2"/>
      <c r="AY163" s="2"/>
    </row>
    <row r="164" spans="1:51" ht="18.75" customHeight="1">
      <c r="A164" t="str">
        <f>"1002201811271320133668"</f>
        <v>1002201811271320133668</v>
      </c>
      <c r="B164" s="9">
        <v>162</v>
      </c>
      <c r="C164" s="2" t="s">
        <v>176</v>
      </c>
      <c r="D164" s="2" t="str">
        <f>"陈豪"</f>
        <v>陈豪</v>
      </c>
      <c r="E164" s="2" t="str">
        <f>"男"</f>
        <v>男</v>
      </c>
      <c r="F164" s="2" t="str">
        <f>"1994-04-01"</f>
        <v>1994-04-01</v>
      </c>
      <c r="G164" s="2" t="str">
        <f>"320682199404016272"</f>
        <v>320682199404016272</v>
      </c>
      <c r="H164" s="2" t="str">
        <f>"江苏如皋"</f>
        <v>江苏如皋</v>
      </c>
      <c r="I164" s="2" t="str">
        <f t="shared" si="91"/>
        <v>非应届生</v>
      </c>
      <c r="J164" s="2" t="str">
        <f>"无"</f>
        <v>无</v>
      </c>
      <c r="K164" s="2" t="str">
        <f>"2017.06"</f>
        <v>2017.06</v>
      </c>
      <c r="L164" s="2" t="str">
        <f t="shared" si="84"/>
        <v>学士</v>
      </c>
      <c r="M164" s="2" t="str">
        <f>"常熟理工学院"</f>
        <v>常熟理工学院</v>
      </c>
      <c r="N164" s="2" t="str">
        <f>"电子科学与技术"</f>
        <v>电子科学与技术</v>
      </c>
      <c r="O164" s="2" t="str">
        <f t="shared" si="79"/>
        <v>本科</v>
      </c>
      <c r="P164" s="2" t="str">
        <f>"185"</f>
        <v>185</v>
      </c>
      <c r="Q164" s="2" t="str">
        <f>"奇安博智能装饰工程有限公司"</f>
        <v>奇安博智能装饰工程有限公司</v>
      </c>
      <c r="R164" s="2" t="str">
        <f>"2017.07"</f>
        <v>2017.07</v>
      </c>
      <c r="S164" s="2" t="str">
        <f>"江苏省如皋市搬经镇新叶西路57号"</f>
        <v>江苏省如皋市搬经镇新叶西路57号</v>
      </c>
      <c r="T164" s="2" t="str">
        <f>"226500"</f>
        <v>226500</v>
      </c>
      <c r="U164" s="2" t="str">
        <f>"无"</f>
        <v>无</v>
      </c>
      <c r="V164" s="2" t="str">
        <f>"19802556188"</f>
        <v>19802556188</v>
      </c>
      <c r="W164" s="2" t="str">
        <f>"无"</f>
        <v>无</v>
      </c>
      <c r="X164" s="2" t="str">
        <f t="shared" ref="X164:X187" si="93">"否"</f>
        <v>否</v>
      </c>
      <c r="Y164" s="2" t="str">
        <f>"大学英语四级"</f>
        <v>大学英语四级</v>
      </c>
      <c r="Z164" s="2" t="str">
        <f>"计算机一级"</f>
        <v>计算机一级</v>
      </c>
      <c r="AA164" s="2" t="str">
        <f>"父亲|陈怀富|石庄镇社会事业服务中心|母亲|沈建兰|衣可心服饰||||||"</f>
        <v>父亲|陈怀富|石庄镇社会事业服务中心|母亲|沈建兰|衣可心服饰||||||</v>
      </c>
      <c r="AB164" s="2" t="str">
        <f>"2010.09-2013.06 江苏省石庄高级中学 学生_x000D_
2013.09-2017.06 常熟理工学院物理电子与工程学院电子科学技术专业 学生_x000D_
2017.07至今 奇安博智能装饰工程有限公司 职员"</f>
        <v>2010.09-2013.06 江苏省石庄高级中学 学生_x000D_
2013.09-2017.06 常熟理工学院物理电子与工程学院电子科学技术专业 学生_x000D_
2017.07至今 奇安博智能装饰工程有限公司 职员</v>
      </c>
      <c r="AC164" s="2" t="str">
        <f t="shared" si="92"/>
        <v>无</v>
      </c>
      <c r="AD164" s="2" t="str">
        <f>""</f>
        <v/>
      </c>
      <c r="AE164" s="4">
        <v>43431.610277777778</v>
      </c>
      <c r="AF164" s="2">
        <v>1</v>
      </c>
      <c r="AG164" s="2">
        <v>1</v>
      </c>
      <c r="AH164" s="2">
        <v>3</v>
      </c>
      <c r="AI164" s="2" t="str">
        <f>"18002013328"</f>
        <v>18002013328</v>
      </c>
      <c r="AJ164" s="2">
        <v>33</v>
      </c>
      <c r="AK164" s="2">
        <v>28</v>
      </c>
      <c r="AL164" s="2" t="s">
        <v>119</v>
      </c>
      <c r="AM164" s="2" t="s">
        <v>120</v>
      </c>
      <c r="AN164" s="2">
        <v>1</v>
      </c>
      <c r="AO164" s="2">
        <v>2722</v>
      </c>
      <c r="AP164" s="2" t="s">
        <v>177</v>
      </c>
      <c r="AQ164" s="2"/>
      <c r="AR164" s="2" t="s">
        <v>330</v>
      </c>
      <c r="AS164" s="3" t="s">
        <v>331</v>
      </c>
      <c r="AT164" s="2" t="s">
        <v>117</v>
      </c>
      <c r="AU164" s="2" t="s">
        <v>117</v>
      </c>
      <c r="AV164" s="7">
        <v>70.099999999999994</v>
      </c>
      <c r="AW164" s="2">
        <v>3</v>
      </c>
      <c r="AX164" s="2"/>
      <c r="AY164" s="2"/>
    </row>
    <row r="165" spans="1:51" ht="18.75" customHeight="1">
      <c r="A165" t="str">
        <f>"1002201811301244486960"</f>
        <v>1002201811301244486960</v>
      </c>
      <c r="B165" s="9">
        <v>163</v>
      </c>
      <c r="C165" s="2" t="s">
        <v>180</v>
      </c>
      <c r="D165" s="2" t="str">
        <f>"周文超"</f>
        <v>周文超</v>
      </c>
      <c r="E165" s="2" t="str">
        <f t="shared" ref="E165:E167" si="94">"男"</f>
        <v>男</v>
      </c>
      <c r="F165" s="2" t="str">
        <f>"1993-11-20"</f>
        <v>1993-11-20</v>
      </c>
      <c r="G165" s="2" t="str">
        <f>"320722199311203051"</f>
        <v>320722199311203051</v>
      </c>
      <c r="H165" s="2" t="str">
        <f>"江苏东海"</f>
        <v>江苏东海</v>
      </c>
      <c r="I165" s="2" t="str">
        <f>"应届生"</f>
        <v>应届生</v>
      </c>
      <c r="J165" s="2" t="str">
        <f t="shared" ref="J165:J173" si="95">"无"</f>
        <v>无</v>
      </c>
      <c r="K165" s="2" t="str">
        <f>"2018.6"</f>
        <v>2018.6</v>
      </c>
      <c r="L165" s="2" t="str">
        <f t="shared" si="84"/>
        <v>学士</v>
      </c>
      <c r="M165" s="2" t="str">
        <f>"南京邮电大学"</f>
        <v>南京邮电大学</v>
      </c>
      <c r="N165" s="2" t="str">
        <f>"软件工程"</f>
        <v>软件工程</v>
      </c>
      <c r="O165" s="2" t="str">
        <f t="shared" si="79"/>
        <v>本科</v>
      </c>
      <c r="P165" s="2" t="str">
        <f>"180"</f>
        <v>180</v>
      </c>
      <c r="Q165" s="2" t="str">
        <f>"无"</f>
        <v>无</v>
      </c>
      <c r="R165" s="2" t="str">
        <f>"无"</f>
        <v>无</v>
      </c>
      <c r="S165" s="2" t="str">
        <f>"江苏省连云港市东海县青湖镇北辰村"</f>
        <v>江苏省连云港市东海县青湖镇北辰村</v>
      </c>
      <c r="T165" s="2" t="str">
        <f>"222321"</f>
        <v>222321</v>
      </c>
      <c r="U165" s="2" t="str">
        <f>"无"</f>
        <v>无</v>
      </c>
      <c r="V165" s="2" t="str">
        <f>"15295532231"</f>
        <v>15295532231</v>
      </c>
      <c r="W165" s="2" t="str">
        <f>"二级乙等"</f>
        <v>二级乙等</v>
      </c>
      <c r="X165" s="2" t="str">
        <f t="shared" si="93"/>
        <v>否</v>
      </c>
      <c r="Y165" s="2" t="str">
        <f>"英语四级"</f>
        <v>英语四级</v>
      </c>
      <c r="Z165" s="2" t="str">
        <f>"计算机一级"</f>
        <v>计算机一级</v>
      </c>
      <c r="AA165" s="2" t="str">
        <f>"爷爷|周丙贞|务农|母亲|周东芳|务农||||||"</f>
        <v>爷爷|周丙贞|务农|母亲|周东芳|务农||||||</v>
      </c>
      <c r="AB165" s="2" t="str">
        <f>"2010.09-2013.06 连云港市白塔高级中学学生_x000D_
2013.09-2016.06 南京工业职业技术学院学生_x000D_
2016.09-2018.06 南京邮电大学学生"</f>
        <v>2010.09-2013.06 连云港市白塔高级中学学生_x000D_
2013.09-2016.06 南京工业职业技术学院学生_x000D_
2016.09-2018.06 南京邮电大学学生</v>
      </c>
      <c r="AC165" s="2" t="str">
        <f t="shared" si="92"/>
        <v>无</v>
      </c>
      <c r="AD165" s="2" t="str">
        <f>""</f>
        <v/>
      </c>
      <c r="AE165" s="4">
        <v>43434.547349537039</v>
      </c>
      <c r="AF165" s="2">
        <v>1</v>
      </c>
      <c r="AG165" s="2">
        <v>1</v>
      </c>
      <c r="AH165" s="2">
        <v>1</v>
      </c>
      <c r="AI165" s="2" t="str">
        <f>"18002013804"</f>
        <v>18002013804</v>
      </c>
      <c r="AJ165" s="2">
        <v>38</v>
      </c>
      <c r="AK165" s="2">
        <v>4</v>
      </c>
      <c r="AL165" s="2" t="s">
        <v>119</v>
      </c>
      <c r="AM165" s="2" t="s">
        <v>120</v>
      </c>
      <c r="AN165" s="2">
        <v>1</v>
      </c>
      <c r="AO165" s="2">
        <v>6695</v>
      </c>
      <c r="AP165" s="2" t="s">
        <v>182</v>
      </c>
      <c r="AQ165" s="2"/>
      <c r="AR165" s="2" t="s">
        <v>330</v>
      </c>
      <c r="AS165" s="3" t="s">
        <v>331</v>
      </c>
      <c r="AT165" s="2" t="s">
        <v>117</v>
      </c>
      <c r="AU165" s="2" t="s">
        <v>117</v>
      </c>
      <c r="AV165" s="7">
        <v>73.7</v>
      </c>
      <c r="AW165" s="2">
        <v>1</v>
      </c>
      <c r="AX165" s="2"/>
      <c r="AY165" s="2"/>
    </row>
    <row r="166" spans="1:51" ht="18.75" customHeight="1">
      <c r="A166" t="str">
        <f>"1002201811291814486182"</f>
        <v>1002201811291814486182</v>
      </c>
      <c r="B166" s="9">
        <v>164</v>
      </c>
      <c r="C166" s="2" t="s">
        <v>180</v>
      </c>
      <c r="D166" s="2" t="str">
        <f>"郭振东"</f>
        <v>郭振东</v>
      </c>
      <c r="E166" s="2" t="str">
        <f t="shared" si="94"/>
        <v>男</v>
      </c>
      <c r="F166" s="2" t="str">
        <f>"1990-06-30"</f>
        <v>1990-06-30</v>
      </c>
      <c r="G166" s="2" t="str">
        <f>"320311199006306715"</f>
        <v>320311199006306715</v>
      </c>
      <c r="H166" s="2" t="str">
        <f>"江苏省徐州市"</f>
        <v>江苏省徐州市</v>
      </c>
      <c r="I166" s="2" t="str">
        <f t="shared" ref="I166:I169" si="96">"非应届生"</f>
        <v>非应届生</v>
      </c>
      <c r="J166" s="2" t="str">
        <f t="shared" si="95"/>
        <v>无</v>
      </c>
      <c r="K166" s="2" t="str">
        <f>"2014.06"</f>
        <v>2014.06</v>
      </c>
      <c r="L166" s="2" t="str">
        <f t="shared" si="84"/>
        <v>学士</v>
      </c>
      <c r="M166" s="2" t="str">
        <f>"中国矿业大学徐海学院"</f>
        <v>中国矿业大学徐海学院</v>
      </c>
      <c r="N166" s="2" t="str">
        <f>"电子科学与技术"</f>
        <v>电子科学与技术</v>
      </c>
      <c r="O166" s="2" t="str">
        <f t="shared" si="79"/>
        <v>本科</v>
      </c>
      <c r="P166" s="2" t="str">
        <f>"182"</f>
        <v>182</v>
      </c>
      <c r="Q166" s="2" t="str">
        <f>"徐州市鼓楼区城管局"</f>
        <v>徐州市鼓楼区城管局</v>
      </c>
      <c r="R166" s="2" t="str">
        <f>"2014.07"</f>
        <v>2014.07</v>
      </c>
      <c r="S166" s="2" t="str">
        <f>"徐州市泉山区合群54号楼"</f>
        <v>徐州市泉山区合群54号楼</v>
      </c>
      <c r="T166" s="2" t="str">
        <f>"221000"</f>
        <v>221000</v>
      </c>
      <c r="U166" s="2" t="str">
        <f>"0516-85763092"</f>
        <v>0516-85763092</v>
      </c>
      <c r="V166" s="2" t="str">
        <f>"18118503697"</f>
        <v>18118503697</v>
      </c>
      <c r="W166" s="2" t="str">
        <f t="shared" ref="W166:W167" si="97">"无"</f>
        <v>无</v>
      </c>
      <c r="X166" s="2" t="str">
        <f t="shared" si="93"/>
        <v>否</v>
      </c>
      <c r="Y166" s="2" t="str">
        <f>"大学英语四级"</f>
        <v>大学英语四级</v>
      </c>
      <c r="Z166" s="2" t="str">
        <f>"全国计算机二级"</f>
        <v>全国计算机二级</v>
      </c>
      <c r="AA166" s="2" t="str">
        <f>"父亲|郭步江|下岗|母亲|樊秋蕊|退休||||||"</f>
        <v>父亲|郭步江|下岗|母亲|樊秋蕊|退休||||||</v>
      </c>
      <c r="AB166" s="2" t="str">
        <f>"2006.09-2009.06徐州市第二中学 学生_x000D_
2009.09-2010.06复读_x000D_
2010.09-2014.06中国矿业大学徐海学院电子科学与技术专业_x000D_
2014.07-2015.07自由职业_x000D_
2015.08至今 徐州市鼓楼区城管局城管协管员_x000D_
"</f>
        <v xml:space="preserve">2006.09-2009.06徐州市第二中学 学生_x000D_
2009.09-2010.06复读_x000D_
2010.09-2014.06中国矿业大学徐海学院电子科学与技术专业_x000D_
2014.07-2015.07自由职业_x000D_
2015.08至今 徐州市鼓楼区城管局城管协管员_x000D_
</v>
      </c>
      <c r="AC166" s="2" t="str">
        <f t="shared" si="92"/>
        <v>无</v>
      </c>
      <c r="AD166" s="2" t="str">
        <f>""</f>
        <v/>
      </c>
      <c r="AE166" s="4">
        <v>43434.634965277779</v>
      </c>
      <c r="AF166" s="2">
        <v>1</v>
      </c>
      <c r="AG166" s="2">
        <v>1</v>
      </c>
      <c r="AH166" s="2">
        <v>25</v>
      </c>
      <c r="AI166" s="2" t="str">
        <f>"18002013819"</f>
        <v>18002013819</v>
      </c>
      <c r="AJ166" s="2">
        <v>38</v>
      </c>
      <c r="AK166" s="2">
        <v>19</v>
      </c>
      <c r="AL166" s="2" t="s">
        <v>119</v>
      </c>
      <c r="AM166" s="2" t="s">
        <v>120</v>
      </c>
      <c r="AN166" s="2">
        <v>1</v>
      </c>
      <c r="AO166" s="2">
        <v>8326</v>
      </c>
      <c r="AP166" s="2" t="s">
        <v>183</v>
      </c>
      <c r="AQ166" s="2"/>
      <c r="AR166" s="2" t="s">
        <v>330</v>
      </c>
      <c r="AS166" s="3" t="s">
        <v>331</v>
      </c>
      <c r="AT166" s="2" t="s">
        <v>117</v>
      </c>
      <c r="AU166" s="2" t="s">
        <v>117</v>
      </c>
      <c r="AV166" s="7">
        <v>71.099999999999994</v>
      </c>
      <c r="AW166" s="2">
        <v>2</v>
      </c>
      <c r="AX166" s="2"/>
      <c r="AY166" s="2"/>
    </row>
    <row r="167" spans="1:51" ht="18.75" customHeight="1">
      <c r="A167" t="str">
        <f>"100220181126101415825"</f>
        <v>100220181126101415825</v>
      </c>
      <c r="B167" s="9">
        <v>165</v>
      </c>
      <c r="C167" s="2" t="s">
        <v>180</v>
      </c>
      <c r="D167" s="2" t="str">
        <f>"杨威"</f>
        <v>杨威</v>
      </c>
      <c r="E167" s="2" t="str">
        <f t="shared" si="94"/>
        <v>男</v>
      </c>
      <c r="F167" s="2" t="str">
        <f>"1995-02-05"</f>
        <v>1995-02-05</v>
      </c>
      <c r="G167" s="2" t="str">
        <f>"320924199502051218"</f>
        <v>320924199502051218</v>
      </c>
      <c r="H167" s="2" t="str">
        <f>"江苏盐城"</f>
        <v>江苏盐城</v>
      </c>
      <c r="I167" s="2" t="str">
        <f t="shared" si="96"/>
        <v>非应届生</v>
      </c>
      <c r="J167" s="2" t="str">
        <f t="shared" si="95"/>
        <v>无</v>
      </c>
      <c r="K167" s="2" t="str">
        <f>"2017.07"</f>
        <v>2017.07</v>
      </c>
      <c r="L167" s="2" t="str">
        <f t="shared" si="84"/>
        <v>学士</v>
      </c>
      <c r="M167" s="2" t="str">
        <f>"江苏大学京江学院"</f>
        <v>江苏大学京江学院</v>
      </c>
      <c r="N167" s="2" t="str">
        <f>"通信工程"</f>
        <v>通信工程</v>
      </c>
      <c r="O167" s="2" t="str">
        <f t="shared" si="79"/>
        <v>本科</v>
      </c>
      <c r="P167" s="2" t="str">
        <f>"168"</f>
        <v>168</v>
      </c>
      <c r="Q167" s="2" t="str">
        <f>"无"</f>
        <v>无</v>
      </c>
      <c r="R167" s="2" t="str">
        <f>"无"</f>
        <v>无</v>
      </c>
      <c r="S167" s="2" t="str">
        <f>"江苏省盐城市射阳县千秋镇三乡河村5组"</f>
        <v>江苏省盐城市射阳县千秋镇三乡河村5组</v>
      </c>
      <c r="T167" s="2" t="str">
        <f>"224300"</f>
        <v>224300</v>
      </c>
      <c r="U167" s="2" t="str">
        <f>"0515-82592393"</f>
        <v>0515-82592393</v>
      </c>
      <c r="V167" s="2" t="str">
        <f>"15751593215"</f>
        <v>15751593215</v>
      </c>
      <c r="W167" s="2" t="str">
        <f t="shared" si="97"/>
        <v>无</v>
      </c>
      <c r="X167" s="2" t="str">
        <f t="shared" si="93"/>
        <v>否</v>
      </c>
      <c r="Y167" s="2" t="str">
        <f>"六级"</f>
        <v>六级</v>
      </c>
      <c r="Z167" s="2" t="str">
        <f>"计算机网络工程3级"</f>
        <v>计算机网络工程3级</v>
      </c>
      <c r="AA167" s="2" t="str">
        <f>"父亲|杨素清|盐城市射阳县千秋镇农业技术推广中心|母亲|霍贺芳|盐城市射阳千秋镇三乡河村||||||"</f>
        <v>父亲|杨素清|盐城市射阳县千秋镇农业技术推广中心|母亲|霍贺芳|盐城市射阳千秋镇三乡河村||||||</v>
      </c>
      <c r="AB167" s="2" t="str">
        <f>"2010.09-2013.06盐城市射阳县第二中学 学生_x000D_
2013.09-2017.06江苏大学京江学院 学生_x000D_
2017.06-至今待业"</f>
        <v>2010.09-2013.06盐城市射阳县第二中学 学生_x000D_
2013.09-2017.06江苏大学京江学院 学生_x000D_
2017.06-至今待业</v>
      </c>
      <c r="AC167" s="2" t="str">
        <f t="shared" si="92"/>
        <v>无</v>
      </c>
      <c r="AD167" s="2" t="str">
        <f>"无"</f>
        <v>无</v>
      </c>
      <c r="AE167" s="4">
        <v>43433.672384259262</v>
      </c>
      <c r="AF167" s="2">
        <v>1</v>
      </c>
      <c r="AG167" s="2">
        <v>1</v>
      </c>
      <c r="AH167" s="2">
        <v>3</v>
      </c>
      <c r="AI167" s="2" t="str">
        <f>"18002013713"</f>
        <v>18002013713</v>
      </c>
      <c r="AJ167" s="2">
        <v>37</v>
      </c>
      <c r="AK167" s="2">
        <v>13</v>
      </c>
      <c r="AL167" s="2" t="s">
        <v>119</v>
      </c>
      <c r="AM167" s="2" t="s">
        <v>120</v>
      </c>
      <c r="AN167" s="2">
        <v>1</v>
      </c>
      <c r="AO167" s="2">
        <v>5794</v>
      </c>
      <c r="AP167" s="2" t="s">
        <v>181</v>
      </c>
      <c r="AQ167" s="2"/>
      <c r="AR167" s="2" t="s">
        <v>330</v>
      </c>
      <c r="AS167" s="3" t="s">
        <v>331</v>
      </c>
      <c r="AT167" s="2" t="s">
        <v>117</v>
      </c>
      <c r="AU167" s="2" t="s">
        <v>117</v>
      </c>
      <c r="AV167" s="7">
        <v>70.650000000000006</v>
      </c>
      <c r="AW167" s="2">
        <v>3</v>
      </c>
      <c r="AX167" s="2"/>
      <c r="AY167" s="2"/>
    </row>
    <row r="168" spans="1:51" ht="18.75" customHeight="1">
      <c r="A168" t="str">
        <f>"1002201811261929452641"</f>
        <v>1002201811261929452641</v>
      </c>
      <c r="B168" s="9">
        <v>166</v>
      </c>
      <c r="C168" s="2" t="s">
        <v>185</v>
      </c>
      <c r="D168" s="2" t="str">
        <f>"叶珂"</f>
        <v>叶珂</v>
      </c>
      <c r="E168" s="2" t="str">
        <f t="shared" ref="E168:E170" si="98">"女"</f>
        <v>女</v>
      </c>
      <c r="F168" s="2" t="str">
        <f>"1995-04-16"</f>
        <v>1995-04-16</v>
      </c>
      <c r="G168" s="2" t="str">
        <f>"321283199504165465"</f>
        <v>321283199504165465</v>
      </c>
      <c r="H168" s="2" t="str">
        <f>"江苏省泰兴市银锭公寓A座511室"</f>
        <v>江苏省泰兴市银锭公寓A座511室</v>
      </c>
      <c r="I168" s="2" t="str">
        <f t="shared" si="96"/>
        <v>非应届生</v>
      </c>
      <c r="J168" s="2" t="str">
        <f t="shared" si="95"/>
        <v>无</v>
      </c>
      <c r="K168" s="2" t="str">
        <f>"2017.06"</f>
        <v>2017.06</v>
      </c>
      <c r="L168" s="2" t="str">
        <f t="shared" si="84"/>
        <v>学士</v>
      </c>
      <c r="M168" s="2" t="str">
        <f>"苏州大学"</f>
        <v>苏州大学</v>
      </c>
      <c r="N168" s="2" t="str">
        <f>"广告学"</f>
        <v>广告学</v>
      </c>
      <c r="O168" s="2" t="str">
        <f t="shared" si="79"/>
        <v>本科</v>
      </c>
      <c r="P168" s="2" t="str">
        <f>"165cm"</f>
        <v>165cm</v>
      </c>
      <c r="Q168" s="2" t="str">
        <f>"无"</f>
        <v>无</v>
      </c>
      <c r="R168" s="2" t="str">
        <f>"2017.9"</f>
        <v>2017.9</v>
      </c>
      <c r="S168" s="2" t="str">
        <f>"江苏省泰兴市银锭公寓A座511室"</f>
        <v>江苏省泰兴市银锭公寓A座511室</v>
      </c>
      <c r="T168" s="2" t="str">
        <f>"225400"</f>
        <v>225400</v>
      </c>
      <c r="U168" s="2" t="str">
        <f>"052387610663"</f>
        <v>052387610663</v>
      </c>
      <c r="V168" s="2" t="str">
        <f>"18896950410"</f>
        <v>18896950410</v>
      </c>
      <c r="W168" s="2" t="str">
        <f>"无"</f>
        <v>无</v>
      </c>
      <c r="X168" s="2" t="str">
        <f t="shared" si="93"/>
        <v>否</v>
      </c>
      <c r="Y168" s="2" t="str">
        <f>"英语六级"</f>
        <v>英语六级</v>
      </c>
      <c r="Z168" s="2" t="str">
        <f>"熟练"</f>
        <v>熟练</v>
      </c>
      <c r="AA168" s="2" t="str">
        <f>"父女|叶新华||母女|顾云||姐弟|叶宗瑜||||"</f>
        <v>父女|叶新华||母女|顾云||姐弟|叶宗瑜||||</v>
      </c>
      <c r="AB168" s="2" t="str">
        <f>"2010.08-2013.06 泰兴市第一高级中学 学生；2013.08-2017.06 苏州大学 新闻传播学-广告学专业 学生；2016.12-2017.2 苏州颂唐机构 广告文案实习生；2017.2-2017.4 苏州今日头条 运营编辑实习生;2017.9-2018.5苏州新东方 语文教师"</f>
        <v>2010.08-2013.06 泰兴市第一高级中学 学生；2013.08-2017.06 苏州大学 新闻传播学-广告学专业 学生；2016.12-2017.2 苏州颂唐机构 广告文案实习生；2017.2-2017.4 苏州今日头条 运营编辑实习生;2017.9-2018.5苏州新东方 语文教师</v>
      </c>
      <c r="AC168" s="2" t="str">
        <f t="shared" si="92"/>
        <v>无</v>
      </c>
      <c r="AD168" s="2" t="str">
        <f>""</f>
        <v/>
      </c>
      <c r="AE168" s="4">
        <v>43431.374803240738</v>
      </c>
      <c r="AF168" s="2">
        <v>1</v>
      </c>
      <c r="AG168" s="2">
        <v>1</v>
      </c>
      <c r="AH168" s="2">
        <v>2</v>
      </c>
      <c r="AI168" s="2" t="str">
        <f>"18002013916"</f>
        <v>18002013916</v>
      </c>
      <c r="AJ168" s="2">
        <v>39</v>
      </c>
      <c r="AK168" s="2">
        <v>16</v>
      </c>
      <c r="AL168" s="2" t="s">
        <v>119</v>
      </c>
      <c r="AM168" s="2" t="s">
        <v>120</v>
      </c>
      <c r="AN168" s="2">
        <v>1</v>
      </c>
      <c r="AO168" s="2">
        <v>2110</v>
      </c>
      <c r="AP168" s="2" t="s">
        <v>187</v>
      </c>
      <c r="AQ168" s="2"/>
      <c r="AR168" s="2" t="s">
        <v>330</v>
      </c>
      <c r="AS168" s="3" t="s">
        <v>331</v>
      </c>
      <c r="AT168" s="2" t="s">
        <v>117</v>
      </c>
      <c r="AU168" s="2" t="s">
        <v>117</v>
      </c>
      <c r="AV168" s="7">
        <v>77.900000000000006</v>
      </c>
      <c r="AW168" s="2">
        <v>1</v>
      </c>
      <c r="AX168" s="2"/>
      <c r="AY168" s="2"/>
    </row>
    <row r="169" spans="1:51" ht="18.75" customHeight="1">
      <c r="A169" t="str">
        <f>"100220181126090254145"</f>
        <v>100220181126090254145</v>
      </c>
      <c r="B169" s="9">
        <v>167</v>
      </c>
      <c r="C169" s="2" t="s">
        <v>185</v>
      </c>
      <c r="D169" s="2" t="str">
        <f>"杨瑞琪"</f>
        <v>杨瑞琪</v>
      </c>
      <c r="E169" s="2" t="str">
        <f t="shared" si="98"/>
        <v>女</v>
      </c>
      <c r="F169" s="2" t="str">
        <f>"1992-01-31"</f>
        <v>1992-01-31</v>
      </c>
      <c r="G169" s="2" t="str">
        <f>"320682199201312960"</f>
        <v>320682199201312960</v>
      </c>
      <c r="H169" s="2" t="str">
        <f>"江苏如皋"</f>
        <v>江苏如皋</v>
      </c>
      <c r="I169" s="2" t="str">
        <f t="shared" si="96"/>
        <v>非应届生</v>
      </c>
      <c r="J169" s="2" t="str">
        <f t="shared" si="95"/>
        <v>无</v>
      </c>
      <c r="K169" s="2" t="str">
        <f>"2014.06"</f>
        <v>2014.06</v>
      </c>
      <c r="L169" s="2" t="str">
        <f t="shared" si="84"/>
        <v>学士</v>
      </c>
      <c r="M169" s="2" t="str">
        <f>"金陵科技学院"</f>
        <v>金陵科技学院</v>
      </c>
      <c r="N169" s="2" t="str">
        <f>"古典文献(古籍修复)"</f>
        <v>古典文献(古籍修复)</v>
      </c>
      <c r="O169" s="2" t="str">
        <f t="shared" si="79"/>
        <v>本科</v>
      </c>
      <c r="P169" s="2" t="str">
        <f>"155"</f>
        <v>155</v>
      </c>
      <c r="Q169" s="2" t="str">
        <f>"如皋政法委（合同制）"</f>
        <v>如皋政法委（合同制）</v>
      </c>
      <c r="R169" s="2" t="str">
        <f>"2018.09"</f>
        <v>2018.09</v>
      </c>
      <c r="S169" s="2" t="str">
        <f>"江苏省南通市如皋林梓镇新陆村"</f>
        <v>江苏省南通市如皋林梓镇新陆村</v>
      </c>
      <c r="T169" s="2" t="str">
        <f>"210012"</f>
        <v>210012</v>
      </c>
      <c r="U169" s="2" t="str">
        <f>"0513-87877677"</f>
        <v>0513-87877677</v>
      </c>
      <c r="V169" s="2" t="str">
        <f>"18051381806"</f>
        <v>18051381806</v>
      </c>
      <c r="W169" s="2" t="str">
        <f>"二乙"</f>
        <v>二乙</v>
      </c>
      <c r="X169" s="2" t="str">
        <f t="shared" si="93"/>
        <v>否</v>
      </c>
      <c r="Y169" s="2" t="str">
        <f>"CET-4"</f>
        <v>CET-4</v>
      </c>
      <c r="Z169" s="2" t="str">
        <f>"全国计算机一级"</f>
        <v>全国计算机一级</v>
      </c>
      <c r="AA169" s="2" t="str">
        <f>"父亲|杨启跃|务农|母亲|马春红|务农||||||"</f>
        <v>父亲|杨启跃|务农|母亲|马春红|务农||||||</v>
      </c>
      <c r="AB169" s="2" t="str">
        <f>"2007.09-2010.06 如皋市第一中学 学生_x000D_
2010.09-2014.06 金陵科技学院古典文献专业 学生_x000D_
2018.09--至今  如皋政法委 合同工"</f>
        <v>2007.09-2010.06 如皋市第一中学 学生_x000D_
2010.09-2014.06 金陵科技学院古典文献专业 学生_x000D_
2018.09--至今  如皋政法委 合同工</v>
      </c>
      <c r="AC169" s="2" t="str">
        <f t="shared" si="92"/>
        <v>无</v>
      </c>
      <c r="AD169" s="2" t="str">
        <f>"无"</f>
        <v>无</v>
      </c>
      <c r="AE169" s="4">
        <v>43431.664687500001</v>
      </c>
      <c r="AF169" s="2">
        <v>1</v>
      </c>
      <c r="AG169" s="2">
        <v>1</v>
      </c>
      <c r="AH169" s="2">
        <v>2</v>
      </c>
      <c r="AI169" s="2" t="str">
        <f>"18002013912"</f>
        <v>18002013912</v>
      </c>
      <c r="AJ169" s="2">
        <v>39</v>
      </c>
      <c r="AK169" s="2">
        <v>12</v>
      </c>
      <c r="AL169" s="2" t="s">
        <v>119</v>
      </c>
      <c r="AM169" s="2" t="s">
        <v>120</v>
      </c>
      <c r="AN169" s="2">
        <v>1</v>
      </c>
      <c r="AO169" s="2">
        <v>1605</v>
      </c>
      <c r="AP169" s="2" t="s">
        <v>46</v>
      </c>
      <c r="AQ169" s="2"/>
      <c r="AR169" s="2" t="s">
        <v>330</v>
      </c>
      <c r="AS169" s="3" t="s">
        <v>331</v>
      </c>
      <c r="AT169" s="2" t="s">
        <v>117</v>
      </c>
      <c r="AU169" s="2" t="s">
        <v>117</v>
      </c>
      <c r="AV169" s="7">
        <v>75.150000000000006</v>
      </c>
      <c r="AW169" s="2">
        <v>2</v>
      </c>
      <c r="AX169" s="2"/>
      <c r="AY169" s="2"/>
    </row>
    <row r="170" spans="1:51" ht="18.75" customHeight="1">
      <c r="A170" t="str">
        <f>"1002201811271339063688"</f>
        <v>1002201811271339063688</v>
      </c>
      <c r="B170" s="9">
        <v>168</v>
      </c>
      <c r="C170" s="2" t="s">
        <v>185</v>
      </c>
      <c r="D170" s="2" t="str">
        <f>"张凌成"</f>
        <v>张凌成</v>
      </c>
      <c r="E170" s="2" t="str">
        <f t="shared" si="98"/>
        <v>女</v>
      </c>
      <c r="F170" s="2" t="str">
        <f>"1997-06-02"</f>
        <v>1997-06-02</v>
      </c>
      <c r="G170" s="2" t="str">
        <f>"320682199706027647"</f>
        <v>320682199706027647</v>
      </c>
      <c r="H170" s="2" t="str">
        <f>"江苏省南通市如皋市"</f>
        <v>江苏省南通市如皋市</v>
      </c>
      <c r="I170" s="2" t="str">
        <f>"应届生"</f>
        <v>应届生</v>
      </c>
      <c r="J170" s="2" t="str">
        <f t="shared" si="95"/>
        <v>无</v>
      </c>
      <c r="K170" s="2" t="str">
        <f>"2019.06"</f>
        <v>2019.06</v>
      </c>
      <c r="L170" s="2" t="str">
        <f t="shared" si="84"/>
        <v>学士</v>
      </c>
      <c r="M170" s="2" t="str">
        <f>"江苏科技大学"</f>
        <v>江苏科技大学</v>
      </c>
      <c r="N170" s="2" t="str">
        <f>"工业设计"</f>
        <v>工业设计</v>
      </c>
      <c r="O170" s="2" t="str">
        <f t="shared" si="79"/>
        <v>本科</v>
      </c>
      <c r="P170" s="2" t="str">
        <f>"168"</f>
        <v>168</v>
      </c>
      <c r="Q170" s="2" t="str">
        <f>"无"</f>
        <v>无</v>
      </c>
      <c r="R170" s="2" t="str">
        <f>"无"</f>
        <v>无</v>
      </c>
      <c r="S170" s="2" t="str">
        <f>"江苏省南通市如皋市桃高新技术开发区天堡居13组"</f>
        <v>江苏省南通市如皋市桃高新技术开发区天堡居13组</v>
      </c>
      <c r="T170" s="2" t="str">
        <f>"226500"</f>
        <v>226500</v>
      </c>
      <c r="U170" s="2" t="str">
        <f>"0513-87730561"</f>
        <v>0513-87730561</v>
      </c>
      <c r="V170" s="2" t="str">
        <f>"18306276183"</f>
        <v>18306276183</v>
      </c>
      <c r="W170" s="2" t="str">
        <f>"二级乙等"</f>
        <v>二级乙等</v>
      </c>
      <c r="X170" s="2" t="str">
        <f t="shared" si="93"/>
        <v>否</v>
      </c>
      <c r="Y170" s="2" t="str">
        <f>"大学英语6级"</f>
        <v>大学英语6级</v>
      </c>
      <c r="Z170" s="2" t="str">
        <f>"熟练"</f>
        <v>熟练</v>
      </c>
      <c r="AA170" s="2" t="str">
        <f>"父亲|张建兵|如皋市建华建材有限公司|母亲|仇小红|如皋市龙泉服饰有限公司||||||"</f>
        <v>父亲|张建兵|如皋市建华建材有限公司|母亲|仇小红|如皋市龙泉服饰有限公司||||||</v>
      </c>
      <c r="AB170" s="2" t="str">
        <f>"2012.09-2015.06 如皋市白蒲中学  学生_x000D_
2015.09-2019.06 江苏科技大学机械工程学院工业设计专业  学生"</f>
        <v>2012.09-2015.06 如皋市白蒲中学  学生_x000D_
2015.09-2019.06 江苏科技大学机械工程学院工业设计专业  学生</v>
      </c>
      <c r="AC170" s="2" t="str">
        <f>"岗位无其他要求"</f>
        <v>岗位无其他要求</v>
      </c>
      <c r="AD170" s="2" t="str">
        <f>""</f>
        <v/>
      </c>
      <c r="AE170" s="4">
        <v>43432.376944444448</v>
      </c>
      <c r="AF170" s="2">
        <v>1</v>
      </c>
      <c r="AG170" s="2">
        <v>1</v>
      </c>
      <c r="AH170" s="2">
        <v>3</v>
      </c>
      <c r="AI170" s="2" t="str">
        <f>"18002013906"</f>
        <v>18002013906</v>
      </c>
      <c r="AJ170" s="2">
        <v>39</v>
      </c>
      <c r="AK170" s="2">
        <v>6</v>
      </c>
      <c r="AL170" s="2" t="s">
        <v>119</v>
      </c>
      <c r="AM170" s="2" t="s">
        <v>120</v>
      </c>
      <c r="AN170" s="2">
        <v>1</v>
      </c>
      <c r="AO170" s="2">
        <v>184</v>
      </c>
      <c r="AP170" s="2" t="s">
        <v>186</v>
      </c>
      <c r="AQ170" s="2"/>
      <c r="AR170" s="2" t="s">
        <v>330</v>
      </c>
      <c r="AS170" s="3" t="s">
        <v>331</v>
      </c>
      <c r="AT170" s="2" t="s">
        <v>117</v>
      </c>
      <c r="AU170" s="2" t="s">
        <v>117</v>
      </c>
      <c r="AV170" s="7">
        <v>73.900000000000006</v>
      </c>
      <c r="AW170" s="2">
        <v>3</v>
      </c>
      <c r="AX170" s="2"/>
      <c r="AY170" s="2"/>
    </row>
    <row r="171" spans="1:51" ht="18.75" customHeight="1">
      <c r="A171" t="str">
        <f>"1002201811292039376356"</f>
        <v>1002201811292039376356</v>
      </c>
      <c r="B171" s="9">
        <v>169</v>
      </c>
      <c r="C171" s="2" t="s">
        <v>188</v>
      </c>
      <c r="D171" s="2" t="str">
        <f>"黄夏运"</f>
        <v>黄夏运</v>
      </c>
      <c r="E171" s="2" t="str">
        <f>"女"</f>
        <v>女</v>
      </c>
      <c r="F171" s="2" t="str">
        <f>"1996-07-24"</f>
        <v>1996-07-24</v>
      </c>
      <c r="G171" s="2" t="str">
        <f>"320684199607241624"</f>
        <v>320684199607241624</v>
      </c>
      <c r="H171" s="2" t="str">
        <f>"江苏南通海门"</f>
        <v>江苏南通海门</v>
      </c>
      <c r="I171" s="2" t="str">
        <f t="shared" ref="I171:I173" si="99">"非应届生"</f>
        <v>非应届生</v>
      </c>
      <c r="J171" s="2" t="str">
        <f t="shared" si="95"/>
        <v>无</v>
      </c>
      <c r="K171" s="2" t="str">
        <f>"2018.06"</f>
        <v>2018.06</v>
      </c>
      <c r="L171" s="2" t="str">
        <f t="shared" si="84"/>
        <v>学士</v>
      </c>
      <c r="M171" s="2" t="str">
        <f>"淮阴工学院"</f>
        <v>淮阴工学院</v>
      </c>
      <c r="N171" s="2" t="str">
        <f>"园林"</f>
        <v>园林</v>
      </c>
      <c r="O171" s="2" t="str">
        <f t="shared" si="79"/>
        <v>本科</v>
      </c>
      <c r="P171" s="2" t="str">
        <f>"168cm"</f>
        <v>168cm</v>
      </c>
      <c r="Q171" s="2" t="str">
        <f>"无"</f>
        <v>无</v>
      </c>
      <c r="R171" s="2" t="str">
        <f>"无"</f>
        <v>无</v>
      </c>
      <c r="S171" s="2" t="str">
        <f>"江苏省南通市海门市德胜镇新凤村八组"</f>
        <v>江苏省南通市海门市德胜镇新凤村八组</v>
      </c>
      <c r="T171" s="2" t="str">
        <f>"226100"</f>
        <v>226100</v>
      </c>
      <c r="U171" s="2" t="str">
        <f>"82286991"</f>
        <v>82286991</v>
      </c>
      <c r="V171" s="2" t="str">
        <f>"18252887961"</f>
        <v>18252887961</v>
      </c>
      <c r="W171" s="2" t="str">
        <f>"二级甲等"</f>
        <v>二级甲等</v>
      </c>
      <c r="X171" s="2" t="str">
        <f t="shared" si="93"/>
        <v>否</v>
      </c>
      <c r="Y171" s="2" t="str">
        <f>"全国大学英语六级"</f>
        <v>全国大学英语六级</v>
      </c>
      <c r="Z171" s="2" t="str">
        <f>"全国计算机二级"</f>
        <v>全国计算机二级</v>
      </c>
      <c r="AA171" s="2" t="str">
        <f>"父亲|黄兴|个体户|母亲|朱健红|个体户||||||"</f>
        <v>父亲|黄兴|个体户|母亲|朱健红|个体户||||||</v>
      </c>
      <c r="AB171" s="2" t="str">
        <f>"2011.09-2014.06 海门第一中学 学生_x000D_
2014.09-2018.06 淮阴工学院生命科学与食品工程学院园林专业 学生"</f>
        <v>2011.09-2014.06 海门第一中学 学生_x000D_
2014.09-2018.06 淮阴工学院生命科学与食品工程学院园林专业 学生</v>
      </c>
      <c r="AC171" s="2" t="str">
        <f>"无"</f>
        <v>无</v>
      </c>
      <c r="AD171" s="2" t="str">
        <f>"无"</f>
        <v>无</v>
      </c>
      <c r="AE171" s="4">
        <v>43434.41170138889</v>
      </c>
      <c r="AF171" s="2">
        <v>1</v>
      </c>
      <c r="AG171" s="2">
        <v>1</v>
      </c>
      <c r="AH171" s="2">
        <v>2</v>
      </c>
      <c r="AI171" s="2" t="str">
        <f>"18002014030"</f>
        <v>18002014030</v>
      </c>
      <c r="AJ171" s="2">
        <v>40</v>
      </c>
      <c r="AK171" s="2">
        <v>30</v>
      </c>
      <c r="AL171" s="2" t="s">
        <v>119</v>
      </c>
      <c r="AM171" s="2" t="s">
        <v>120</v>
      </c>
      <c r="AN171" s="2">
        <v>1</v>
      </c>
      <c r="AO171" s="2">
        <v>906</v>
      </c>
      <c r="AP171" s="2" t="s">
        <v>189</v>
      </c>
      <c r="AQ171" s="2"/>
      <c r="AR171" s="2" t="s">
        <v>330</v>
      </c>
      <c r="AS171" s="3" t="s">
        <v>331</v>
      </c>
      <c r="AT171" s="2" t="s">
        <v>117</v>
      </c>
      <c r="AU171" s="2" t="s">
        <v>117</v>
      </c>
      <c r="AV171" s="7">
        <v>71.55</v>
      </c>
      <c r="AW171" s="2">
        <v>1</v>
      </c>
      <c r="AX171" s="2"/>
      <c r="AY171" s="2"/>
    </row>
    <row r="172" spans="1:51" ht="18.75" customHeight="1">
      <c r="A172" t="str">
        <f>"100220181126102208891"</f>
        <v>100220181126102208891</v>
      </c>
      <c r="B172" s="9">
        <v>170</v>
      </c>
      <c r="C172" s="2" t="s">
        <v>188</v>
      </c>
      <c r="D172" s="2" t="str">
        <f>"周雅楠"</f>
        <v>周雅楠</v>
      </c>
      <c r="E172" s="2" t="str">
        <f>"女"</f>
        <v>女</v>
      </c>
      <c r="F172" s="2" t="str">
        <f>"1993-11-12"</f>
        <v>1993-11-12</v>
      </c>
      <c r="G172" s="2" t="str">
        <f>"32061119931112122X"</f>
        <v>32061119931112122X</v>
      </c>
      <c r="H172" s="2" t="str">
        <f>"江苏省南通市港闸区"</f>
        <v>江苏省南通市港闸区</v>
      </c>
      <c r="I172" s="2" t="str">
        <f t="shared" si="99"/>
        <v>非应届生</v>
      </c>
      <c r="J172" s="2" t="str">
        <f t="shared" si="95"/>
        <v>无</v>
      </c>
      <c r="K172" s="2" t="str">
        <f>"2016.07"</f>
        <v>2016.07</v>
      </c>
      <c r="L172" s="2" t="str">
        <f t="shared" si="84"/>
        <v>学士</v>
      </c>
      <c r="M172" s="2" t="str">
        <f>"南通大学建筑工程学院"</f>
        <v>南通大学建筑工程学院</v>
      </c>
      <c r="N172" s="2" t="str">
        <f>"工程管理"</f>
        <v>工程管理</v>
      </c>
      <c r="O172" s="2" t="str">
        <f t="shared" si="79"/>
        <v>本科</v>
      </c>
      <c r="P172" s="2" t="str">
        <f>"164"</f>
        <v>164</v>
      </c>
      <c r="Q172" s="2" t="str">
        <f>"江苏省如皋市长江镇富圩村委会"</f>
        <v>江苏省如皋市长江镇富圩村委会</v>
      </c>
      <c r="R172" s="2" t="str">
        <f>"2016.08"</f>
        <v>2016.08</v>
      </c>
      <c r="S172" s="2" t="str">
        <f>"江苏省南通市港闸区永兴国际车城4号楼C1时代汽保"</f>
        <v>江苏省南通市港闸区永兴国际车城4号楼C1时代汽保</v>
      </c>
      <c r="T172" s="2" t="str">
        <f>"226000"</f>
        <v>226000</v>
      </c>
      <c r="U172" s="2" t="str">
        <f>"85301227"</f>
        <v>85301227</v>
      </c>
      <c r="V172" s="2" t="str">
        <f>"18761736132"</f>
        <v>18761736132</v>
      </c>
      <c r="W172" s="2" t="str">
        <f t="shared" ref="W172:W173" si="100">"无"</f>
        <v>无</v>
      </c>
      <c r="X172" s="2" t="str">
        <f t="shared" si="93"/>
        <v>否</v>
      </c>
      <c r="Y172" s="2" t="str">
        <f>"全国大学生英语六级"</f>
        <v>全国大学生英语六级</v>
      </c>
      <c r="Z172" s="2" t="str">
        <f>"江苏省计算机二级优秀"</f>
        <v>江苏省计算机二级优秀</v>
      </c>
      <c r="AA172" s="2" t="str">
        <f>"父亲|周建|个体商户|母亲|黄宇利|个体商户|配偶|申旸|如皋市公安局|||"</f>
        <v>父亲|周建|个体商户|母亲|黄宇利|个体商户|配偶|申旸|如皋市公安局|||</v>
      </c>
      <c r="AB172" s="2" t="str">
        <f>"2009.09-2012.06 江苏省南通中学 学生_x000D_
2012.09-2016.07 南通大学建筑工程学院工程管理专业 学生_x000D_
2016.08至今 如皋市长江镇富圩村委会 书记助理_x000D_
"</f>
        <v xml:space="preserve">2009.09-2012.06 江苏省南通中学 学生_x000D_
2012.09-2016.07 南通大学建筑工程学院工程管理专业 学生_x000D_
2016.08至今 如皋市长江镇富圩村委会 书记助理_x000D_
</v>
      </c>
      <c r="AC172" s="2" t="str">
        <f>"学历本科以上 建筑工程类专业"</f>
        <v>学历本科以上 建筑工程类专业</v>
      </c>
      <c r="AD172" s="2" t="str">
        <f>""</f>
        <v/>
      </c>
      <c r="AE172" s="4">
        <v>43430.707280092596</v>
      </c>
      <c r="AF172" s="2">
        <v>1</v>
      </c>
      <c r="AG172" s="2">
        <v>1</v>
      </c>
      <c r="AH172" s="2">
        <v>2</v>
      </c>
      <c r="AI172" s="2" t="str">
        <f>"18002014110"</f>
        <v>18002014110</v>
      </c>
      <c r="AJ172" s="2">
        <v>41</v>
      </c>
      <c r="AK172" s="2">
        <v>10</v>
      </c>
      <c r="AL172" s="2" t="s">
        <v>119</v>
      </c>
      <c r="AM172" s="2" t="s">
        <v>120</v>
      </c>
      <c r="AN172" s="2">
        <v>1</v>
      </c>
      <c r="AO172" s="2">
        <v>2475</v>
      </c>
      <c r="AP172" s="2" t="s">
        <v>46</v>
      </c>
      <c r="AQ172" s="2"/>
      <c r="AR172" s="2" t="s">
        <v>330</v>
      </c>
      <c r="AS172" s="3" t="s">
        <v>331</v>
      </c>
      <c r="AT172" s="2" t="s">
        <v>117</v>
      </c>
      <c r="AU172" s="2" t="s">
        <v>117</v>
      </c>
      <c r="AV172" s="7">
        <v>70.150000000000006</v>
      </c>
      <c r="AW172" s="2">
        <v>2</v>
      </c>
      <c r="AX172" s="2"/>
      <c r="AY172" s="2"/>
    </row>
    <row r="173" spans="1:51" ht="18.75" customHeight="1">
      <c r="A173" t="str">
        <f>"1002201811261127131290"</f>
        <v>1002201811261127131290</v>
      </c>
      <c r="B173" s="9">
        <v>171</v>
      </c>
      <c r="C173" s="2" t="s">
        <v>188</v>
      </c>
      <c r="D173" s="2" t="str">
        <f>"单浩然"</f>
        <v>单浩然</v>
      </c>
      <c r="E173" s="2" t="str">
        <f>"男"</f>
        <v>男</v>
      </c>
      <c r="F173" s="2" t="str">
        <f>"1994-09-22"</f>
        <v>1994-09-22</v>
      </c>
      <c r="G173" s="2" t="str">
        <f>"32062119940922051X"</f>
        <v>32062119940922051X</v>
      </c>
      <c r="H173" s="2" t="str">
        <f>"南通市海安市"</f>
        <v>南通市海安市</v>
      </c>
      <c r="I173" s="2" t="str">
        <f t="shared" si="99"/>
        <v>非应届生</v>
      </c>
      <c r="J173" s="2" t="str">
        <f t="shared" si="95"/>
        <v>无</v>
      </c>
      <c r="K173" s="2" t="str">
        <f>"2017.7"</f>
        <v>2017.7</v>
      </c>
      <c r="L173" s="2" t="str">
        <f t="shared" si="84"/>
        <v>学士</v>
      </c>
      <c r="M173" s="2" t="str">
        <f>"河南省商丘工学院"</f>
        <v>河南省商丘工学院</v>
      </c>
      <c r="N173" s="2" t="str">
        <f>"土木工程"</f>
        <v>土木工程</v>
      </c>
      <c r="O173" s="2" t="str">
        <f t="shared" si="79"/>
        <v>本科</v>
      </c>
      <c r="P173" s="2" t="str">
        <f>"175"</f>
        <v>175</v>
      </c>
      <c r="Q173" s="2" t="str">
        <f>"南通市城供粮油购销总公司"</f>
        <v>南通市城供粮油购销总公司</v>
      </c>
      <c r="R173" s="2" t="str">
        <f>"2017.9"</f>
        <v>2017.9</v>
      </c>
      <c r="S173" s="2" t="str">
        <f>"南通市海安市曲塘镇都天路20#"</f>
        <v>南通市海安市曲塘镇都天路20#</v>
      </c>
      <c r="T173" s="2" t="str">
        <f>"226661"</f>
        <v>226661</v>
      </c>
      <c r="U173" s="2" t="str">
        <f>"无"</f>
        <v>无</v>
      </c>
      <c r="V173" s="2" t="str">
        <f>"15962786007"</f>
        <v>15962786007</v>
      </c>
      <c r="W173" s="2" t="str">
        <f t="shared" si="100"/>
        <v>无</v>
      </c>
      <c r="X173" s="2" t="str">
        <f t="shared" si="93"/>
        <v>否</v>
      </c>
      <c r="Y173" s="2" t="str">
        <f>"熟练"</f>
        <v>熟练</v>
      </c>
      <c r="Z173" s="2" t="str">
        <f>"熟练"</f>
        <v>熟练</v>
      </c>
      <c r="AA173" s="2" t="str">
        <f>"父亲|单荣|海安市城南驾校|母亲|吴小凤|海安市曲塘中学||||||"</f>
        <v>父亲|单荣|海安市城南驾校|母亲|吴小凤|海安市曲塘中学||||||</v>
      </c>
      <c r="AB173" s="2" t="str">
        <f>"2010.09-2013.06 海安市南莫中学 学生_x000D_
2013.09-2017.06 河南省商丘工学院 学生_x000D_
2017.07-2018.02 海安市信拓集团 职员_x000D_
2018.02-2018.10 待业_x000D_
2018.10至今 南通市城供粮油购销总公司 职员"</f>
        <v>2010.09-2013.06 海安市南莫中学 学生_x000D_
2013.09-2017.06 河南省商丘工学院 学生_x000D_
2017.07-2018.02 海安市信拓集团 职员_x000D_
2018.02-2018.10 待业_x000D_
2018.10至今 南通市城供粮油购销总公司 职员</v>
      </c>
      <c r="AC173" s="2" t="str">
        <f t="shared" ref="AC173:AC179" si="101">"无"</f>
        <v>无</v>
      </c>
      <c r="AD173" s="2" t="str">
        <f>""</f>
        <v/>
      </c>
      <c r="AE173" s="4">
        <v>43430.708483796298</v>
      </c>
      <c r="AF173" s="2">
        <v>1</v>
      </c>
      <c r="AG173" s="2">
        <v>1</v>
      </c>
      <c r="AH173" s="2">
        <v>2</v>
      </c>
      <c r="AI173" s="2" t="str">
        <f>"18002014121"</f>
        <v>18002014121</v>
      </c>
      <c r="AJ173" s="2">
        <v>41</v>
      </c>
      <c r="AK173" s="2">
        <v>21</v>
      </c>
      <c r="AL173" s="2" t="s">
        <v>119</v>
      </c>
      <c r="AM173" s="2" t="s">
        <v>120</v>
      </c>
      <c r="AN173" s="2">
        <v>1</v>
      </c>
      <c r="AO173" s="2">
        <v>4600</v>
      </c>
      <c r="AP173" s="2" t="s">
        <v>190</v>
      </c>
      <c r="AQ173" s="2"/>
      <c r="AR173" s="2" t="s">
        <v>330</v>
      </c>
      <c r="AS173" s="3" t="s">
        <v>331</v>
      </c>
      <c r="AT173" s="2" t="s">
        <v>117</v>
      </c>
      <c r="AU173" s="2" t="s">
        <v>117</v>
      </c>
      <c r="AV173" s="7">
        <v>69.7</v>
      </c>
      <c r="AW173" s="2">
        <v>3</v>
      </c>
      <c r="AX173" s="2"/>
      <c r="AY173" s="2"/>
    </row>
    <row r="174" spans="1:51" ht="18.75" customHeight="1">
      <c r="A174" t="str">
        <f>"1002201811271416263735"</f>
        <v>1002201811271416263735</v>
      </c>
      <c r="B174" s="9">
        <v>172</v>
      </c>
      <c r="C174" s="2" t="s">
        <v>191</v>
      </c>
      <c r="D174" s="2" t="str">
        <f>"王志宇"</f>
        <v>王志宇</v>
      </c>
      <c r="E174" s="2" t="str">
        <f>"男"</f>
        <v>男</v>
      </c>
      <c r="F174" s="2" t="str">
        <f>"1995-09-13"</f>
        <v>1995-09-13</v>
      </c>
      <c r="G174" s="2" t="str">
        <f>"32092219950913905X"</f>
        <v>32092219950913905X</v>
      </c>
      <c r="H174" s="2" t="str">
        <f>"江苏省盐城市滨海县东坎镇向阳大道"</f>
        <v>江苏省盐城市滨海县东坎镇向阳大道</v>
      </c>
      <c r="I174" s="2" t="str">
        <f>"应届生"</f>
        <v>应届生</v>
      </c>
      <c r="J174" s="2" t="str">
        <f>"无"</f>
        <v>无</v>
      </c>
      <c r="K174" s="2" t="str">
        <f>"2018.6"</f>
        <v>2018.6</v>
      </c>
      <c r="L174" s="2" t="str">
        <f t="shared" si="84"/>
        <v>学士</v>
      </c>
      <c r="M174" s="2" t="str">
        <f>"盐城工学院"</f>
        <v>盐城工学院</v>
      </c>
      <c r="N174" s="2" t="str">
        <f>"土木工程"</f>
        <v>土木工程</v>
      </c>
      <c r="O174" s="2" t="str">
        <f t="shared" si="79"/>
        <v>本科</v>
      </c>
      <c r="P174" s="2" t="str">
        <f>"175"</f>
        <v>175</v>
      </c>
      <c r="Q174" s="2" t="str">
        <f>"无"</f>
        <v>无</v>
      </c>
      <c r="R174" s="2" t="str">
        <f>"无"</f>
        <v>无</v>
      </c>
      <c r="S174" s="2" t="str">
        <f>"江苏省盐城市滨海县"</f>
        <v>江苏省盐城市滨海县</v>
      </c>
      <c r="T174" s="2" t="str">
        <f>"224551"</f>
        <v>224551</v>
      </c>
      <c r="U174" s="2" t="str">
        <f>"17802591367"</f>
        <v>17802591367</v>
      </c>
      <c r="V174" s="2" t="str">
        <f>"17802591367"</f>
        <v>17802591367</v>
      </c>
      <c r="W174" s="2" t="str">
        <f>"无"</f>
        <v>无</v>
      </c>
      <c r="X174" s="2" t="str">
        <f t="shared" si="93"/>
        <v>否</v>
      </c>
      <c r="Y174" s="2" t="str">
        <f>"英语4级"</f>
        <v>英语4级</v>
      </c>
      <c r="Z174" s="2" t="str">
        <f>"优秀"</f>
        <v>优秀</v>
      </c>
      <c r="AA174" s="2" t="str">
        <f>"父亲|王伟|滨海农场学校|母亲|付文和|滨淮农场医院||||||"</f>
        <v>父亲|王伟|滨海农场学校|母亲|付文和|滨淮农场医院||||||</v>
      </c>
      <c r="AB174" s="2" t="str">
        <f>"2010.09-2013.06滨海中学 学生_x000D_
2014.09-2018.06盐城工学院土木工程专业 学生"</f>
        <v>2010.09-2013.06滨海中学 学生_x000D_
2014.09-2018.06盐城工学院土木工程专业 学生</v>
      </c>
      <c r="AC174" s="2" t="str">
        <f t="shared" si="101"/>
        <v>无</v>
      </c>
      <c r="AD174" s="2" t="str">
        <f>""</f>
        <v/>
      </c>
      <c r="AE174" s="4">
        <v>43432.621990740743</v>
      </c>
      <c r="AF174" s="2">
        <v>1</v>
      </c>
      <c r="AG174" s="2">
        <v>1</v>
      </c>
      <c r="AH174" s="2">
        <v>2</v>
      </c>
      <c r="AI174" s="2" t="str">
        <f>"18002014323"</f>
        <v>18002014323</v>
      </c>
      <c r="AJ174" s="2">
        <v>43</v>
      </c>
      <c r="AK174" s="2">
        <v>23</v>
      </c>
      <c r="AL174" s="2" t="s">
        <v>119</v>
      </c>
      <c r="AM174" s="2" t="s">
        <v>120</v>
      </c>
      <c r="AN174" s="2">
        <v>1</v>
      </c>
      <c r="AO174" s="2">
        <v>5762</v>
      </c>
      <c r="AP174" s="2" t="s">
        <v>192</v>
      </c>
      <c r="AQ174" s="2"/>
      <c r="AR174" s="2" t="s">
        <v>330</v>
      </c>
      <c r="AS174" s="3" t="s">
        <v>331</v>
      </c>
      <c r="AT174" s="2" t="s">
        <v>117</v>
      </c>
      <c r="AU174" s="2" t="s">
        <v>117</v>
      </c>
      <c r="AV174" s="7">
        <v>70.099999999999994</v>
      </c>
      <c r="AW174" s="2">
        <v>1</v>
      </c>
      <c r="AX174" s="2"/>
      <c r="AY174" s="2"/>
    </row>
    <row r="175" spans="1:51" ht="18.75" customHeight="1">
      <c r="A175" t="str">
        <f>"1002201811291016405635"</f>
        <v>1002201811291016405635</v>
      </c>
      <c r="B175" s="9">
        <v>173</v>
      </c>
      <c r="C175" s="2" t="s">
        <v>191</v>
      </c>
      <c r="D175" s="2" t="str">
        <f>"徐敏"</f>
        <v>徐敏</v>
      </c>
      <c r="E175" s="2" t="str">
        <f>"女"</f>
        <v>女</v>
      </c>
      <c r="F175" s="2" t="str">
        <f>"1994-01-02"</f>
        <v>1994-01-02</v>
      </c>
      <c r="G175" s="2" t="str">
        <f>"321284199401020227"</f>
        <v>321284199401020227</v>
      </c>
      <c r="H175" s="2" t="str">
        <f>"江苏省泰州市姜堰区罗塘街道通扬村7组"</f>
        <v>江苏省泰州市姜堰区罗塘街道通扬村7组</v>
      </c>
      <c r="I175" s="2" t="str">
        <f>"非应届生"</f>
        <v>非应届生</v>
      </c>
      <c r="J175" s="2" t="str">
        <f>"助理工程师"</f>
        <v>助理工程师</v>
      </c>
      <c r="K175" s="2" t="str">
        <f>"2016.06"</f>
        <v>2016.06</v>
      </c>
      <c r="L175" s="2" t="str">
        <f t="shared" si="84"/>
        <v>学士</v>
      </c>
      <c r="M175" s="2" t="str">
        <f>"扬州大学广陵学院"</f>
        <v>扬州大学广陵学院</v>
      </c>
      <c r="N175" s="2" t="str">
        <f>"工程管理（工程造价）"</f>
        <v>工程管理（工程造价）</v>
      </c>
      <c r="O175" s="2" t="str">
        <f t="shared" si="79"/>
        <v>本科</v>
      </c>
      <c r="P175" s="2" t="str">
        <f>"168"</f>
        <v>168</v>
      </c>
      <c r="Q175" s="2" t="str">
        <f>"江苏省泰州市姜堰区梁徐镇三林村"</f>
        <v>江苏省泰州市姜堰区梁徐镇三林村</v>
      </c>
      <c r="R175" s="2" t="str">
        <f>"2016.06"</f>
        <v>2016.06</v>
      </c>
      <c r="S175" s="2" t="str">
        <f>"江苏省泰州市姜堰区忻园新村33#"</f>
        <v>江苏省泰州市姜堰区忻园新村33#</v>
      </c>
      <c r="T175" s="2" t="str">
        <f>"225000"</f>
        <v>225000</v>
      </c>
      <c r="U175" s="2" t="str">
        <f>"无"</f>
        <v>无</v>
      </c>
      <c r="V175" s="2" t="str">
        <f>"15751177911"</f>
        <v>15751177911</v>
      </c>
      <c r="W175" s="2" t="str">
        <f>"二级乙等"</f>
        <v>二级乙等</v>
      </c>
      <c r="X175" s="2" t="str">
        <f t="shared" si="93"/>
        <v>否</v>
      </c>
      <c r="Y175" s="2" t="str">
        <f>"CET6"</f>
        <v>CET6</v>
      </c>
      <c r="Z175" s="2" t="str">
        <f>"全国计算机二级"</f>
        <v>全国计算机二级</v>
      </c>
      <c r="AA175" s="2" t="str">
        <f>"父亲|徐锦宽|姜堰区通扬村|母亲|丁秀芳|江苏汇丰实业有限公司|配偶|周洋|无业|女儿|周沐辰|"</f>
        <v>父亲|徐锦宽|姜堰区通扬村|母亲|丁秀芳|江苏汇丰实业有限公司|配偶|周洋|无业|女儿|周沐辰|</v>
      </c>
      <c r="AB175" s="2" t="str">
        <f>"2009.09-2012.06 姜堰第二中学 学生_x000D_
2012.09-2016.06 扬州大学广陵学院土木电气工程系 学生_x000D_
2016.06-2018.02 江苏正方工程项目管理房地产评估有限公司_x000D_
2018.03至今 江苏省泰州市姜堰区梁徐镇三林村村支书助理"</f>
        <v>2009.09-2012.06 姜堰第二中学 学生_x000D_
2012.09-2016.06 扬州大学广陵学院土木电气工程系 学生_x000D_
2016.06-2018.02 江苏正方工程项目管理房地产评估有限公司_x000D_
2018.03至今 江苏省泰州市姜堰区梁徐镇三林村村支书助理</v>
      </c>
      <c r="AC175" s="2" t="str">
        <f t="shared" si="101"/>
        <v>无</v>
      </c>
      <c r="AD175" s="2" t="str">
        <f>""</f>
        <v/>
      </c>
      <c r="AE175" s="4">
        <v>43433.613495370373</v>
      </c>
      <c r="AF175" s="2">
        <v>1</v>
      </c>
      <c r="AG175" s="2">
        <v>1</v>
      </c>
      <c r="AH175" s="2">
        <v>1</v>
      </c>
      <c r="AI175" s="2" t="str">
        <f>"18002014227"</f>
        <v>18002014227</v>
      </c>
      <c r="AJ175" s="2">
        <v>42</v>
      </c>
      <c r="AK175" s="2">
        <v>27</v>
      </c>
      <c r="AL175" s="2" t="s">
        <v>119</v>
      </c>
      <c r="AM175" s="2" t="s">
        <v>120</v>
      </c>
      <c r="AN175" s="2">
        <v>1</v>
      </c>
      <c r="AO175" s="2">
        <v>699</v>
      </c>
      <c r="AP175" s="2" t="s">
        <v>143</v>
      </c>
      <c r="AQ175" s="2"/>
      <c r="AR175" s="2" t="s">
        <v>330</v>
      </c>
      <c r="AS175" s="3" t="s">
        <v>331</v>
      </c>
      <c r="AT175" s="2" t="s">
        <v>117</v>
      </c>
      <c r="AU175" s="2" t="s">
        <v>117</v>
      </c>
      <c r="AV175" s="7">
        <v>68.7</v>
      </c>
      <c r="AW175" s="2">
        <v>2</v>
      </c>
      <c r="AX175" s="2"/>
      <c r="AY175" s="2"/>
    </row>
    <row r="176" spans="1:51" ht="18.75" customHeight="1">
      <c r="A176" t="str">
        <f>"1002201811291202545765"</f>
        <v>1002201811291202545765</v>
      </c>
      <c r="B176" s="9">
        <v>174</v>
      </c>
      <c r="C176" s="2" t="s">
        <v>191</v>
      </c>
      <c r="D176" s="2" t="str">
        <f>"周子贇"</f>
        <v>周子贇</v>
      </c>
      <c r="E176" s="2" t="str">
        <f t="shared" ref="E176" si="102">"男"</f>
        <v>男</v>
      </c>
      <c r="F176" s="2" t="str">
        <f>"1995-10-12"</f>
        <v>1995-10-12</v>
      </c>
      <c r="G176" s="2" t="str">
        <f>"32098119951012447X"</f>
        <v>32098119951012447X</v>
      </c>
      <c r="H176" s="2" t="str">
        <f>"江苏省东台市"</f>
        <v>江苏省东台市</v>
      </c>
      <c r="I176" s="2" t="str">
        <f>"非应届生"</f>
        <v>非应届生</v>
      </c>
      <c r="J176" s="2" t="str">
        <f>"助理工程师"</f>
        <v>助理工程师</v>
      </c>
      <c r="K176" s="2" t="str">
        <f>"2017.6"</f>
        <v>2017.6</v>
      </c>
      <c r="L176" s="2" t="str">
        <f t="shared" si="84"/>
        <v>学士</v>
      </c>
      <c r="M176" s="2" t="str">
        <f>"苏州科技大学天平学院"</f>
        <v>苏州科技大学天平学院</v>
      </c>
      <c r="N176" s="2" t="str">
        <f>"工程管理（工程项目管理）"</f>
        <v>工程管理（工程项目管理）</v>
      </c>
      <c r="O176" s="2" t="str">
        <f t="shared" si="79"/>
        <v>本科</v>
      </c>
      <c r="P176" s="2" t="str">
        <f>"173"</f>
        <v>173</v>
      </c>
      <c r="Q176" s="2" t="str">
        <f>"无"</f>
        <v>无</v>
      </c>
      <c r="R176" s="2" t="str">
        <f>"2017.6"</f>
        <v>2017.6</v>
      </c>
      <c r="S176" s="2" t="str">
        <f>"江苏省东台市南沈灶镇府前东路54号"</f>
        <v>江苏省东台市南沈灶镇府前东路54号</v>
      </c>
      <c r="T176" s="2" t="str">
        <f>"224224"</f>
        <v>224224</v>
      </c>
      <c r="U176" s="2" t="str">
        <f>"18860917466"</f>
        <v>18860917466</v>
      </c>
      <c r="V176" s="2" t="str">
        <f>"18860917466"</f>
        <v>18860917466</v>
      </c>
      <c r="W176" s="2" t="str">
        <f>"无"</f>
        <v>无</v>
      </c>
      <c r="X176" s="2" t="str">
        <f t="shared" si="93"/>
        <v>否</v>
      </c>
      <c r="Y176" s="2" t="str">
        <f>"大学英语四级"</f>
        <v>大学英语四级</v>
      </c>
      <c r="Z176" s="2" t="str">
        <f>"全国计算机一级"</f>
        <v>全国计算机一级</v>
      </c>
      <c r="AA176" s="2" t="str">
        <f>"父亲|周荣兵|江苏省东台市弶港镇新曹卫生院|||||||||"</f>
        <v>父亲|周荣兵|江苏省东台市弶港镇新曹卫生院|||||||||</v>
      </c>
      <c r="AB176" s="2" t="str">
        <f>"2010.09-2013.06 江苏省东台市安丰中学 学生_x000D_
2013.09-2017.06 苏州科技大学天平学院 工程管理专业 学生_x000D_
2017.06-2018.08 浙江江南工程管理股份有限公司 职员_x000D_
2018.09至今 待业"</f>
        <v>2010.09-2013.06 江苏省东台市安丰中学 学生_x000D_
2013.09-2017.06 苏州科技大学天平学院 工程管理专业 学生_x000D_
2017.06-2018.08 浙江江南工程管理股份有限公司 职员_x000D_
2018.09至今 待业</v>
      </c>
      <c r="AC176" s="2" t="str">
        <f t="shared" si="101"/>
        <v>无</v>
      </c>
      <c r="AD176" s="2" t="str">
        <f>""</f>
        <v/>
      </c>
      <c r="AE176" s="4">
        <v>43433.612407407411</v>
      </c>
      <c r="AF176" s="2">
        <v>1</v>
      </c>
      <c r="AG176" s="2">
        <v>1</v>
      </c>
      <c r="AH176" s="2">
        <v>2</v>
      </c>
      <c r="AI176" s="2" t="str">
        <f>"18002014410"</f>
        <v>18002014410</v>
      </c>
      <c r="AJ176" s="2">
        <v>44</v>
      </c>
      <c r="AK176" s="2">
        <v>10</v>
      </c>
      <c r="AL176" s="2" t="s">
        <v>119</v>
      </c>
      <c r="AM176" s="2" t="s">
        <v>120</v>
      </c>
      <c r="AN176" s="2">
        <v>1</v>
      </c>
      <c r="AO176" s="2">
        <v>8050</v>
      </c>
      <c r="AP176" s="2" t="s">
        <v>193</v>
      </c>
      <c r="AQ176" s="2"/>
      <c r="AR176" s="2" t="s">
        <v>330</v>
      </c>
      <c r="AS176" s="3" t="s">
        <v>331</v>
      </c>
      <c r="AT176" s="2" t="s">
        <v>117</v>
      </c>
      <c r="AU176" s="2" t="s">
        <v>117</v>
      </c>
      <c r="AV176" s="7">
        <v>67.599999999999994</v>
      </c>
      <c r="AW176" s="2">
        <v>3</v>
      </c>
      <c r="AX176" s="2"/>
      <c r="AY176" s="2"/>
    </row>
    <row r="177" spans="1:51" ht="18.75" customHeight="1">
      <c r="A177" t="str">
        <f>"1002201811281110234691"</f>
        <v>1002201811281110234691</v>
      </c>
      <c r="B177" s="9">
        <v>175</v>
      </c>
      <c r="C177" s="2" t="s">
        <v>194</v>
      </c>
      <c r="D177" s="2" t="str">
        <f>"张迤覃"</f>
        <v>张迤覃</v>
      </c>
      <c r="E177" s="2" t="str">
        <f t="shared" ref="E177:E179" si="103">"女"</f>
        <v>女</v>
      </c>
      <c r="F177" s="2" t="str">
        <f>"1995-04-13"</f>
        <v>1995-04-13</v>
      </c>
      <c r="G177" s="2" t="str">
        <f>"320683199504130220"</f>
        <v>320683199504130220</v>
      </c>
      <c r="H177" s="2" t="str">
        <f>"江苏南通"</f>
        <v>江苏南通</v>
      </c>
      <c r="I177" s="2" t="str">
        <f t="shared" ref="I177:I178" si="104">"非应届生"</f>
        <v>非应届生</v>
      </c>
      <c r="J177" s="2" t="str">
        <f t="shared" ref="J177:J179" si="105">"无"</f>
        <v>无</v>
      </c>
      <c r="K177" s="2" t="str">
        <f>"2017.06"</f>
        <v>2017.06</v>
      </c>
      <c r="L177" s="2" t="str">
        <f t="shared" si="84"/>
        <v>学士</v>
      </c>
      <c r="M177" s="2" t="str">
        <f>"南京晓庄学院"</f>
        <v>南京晓庄学院</v>
      </c>
      <c r="N177" s="2" t="str">
        <f>"人文地理与城乡规划"</f>
        <v>人文地理与城乡规划</v>
      </c>
      <c r="O177" s="2" t="str">
        <f t="shared" si="79"/>
        <v>本科</v>
      </c>
      <c r="P177" s="2" t="str">
        <f>"170"</f>
        <v>170</v>
      </c>
      <c r="Q177" s="2" t="str">
        <f>"南通市通州区市场监督管理局"</f>
        <v>南通市通州区市场监督管理局</v>
      </c>
      <c r="R177" s="2" t="str">
        <f>"2017.04"</f>
        <v>2017.04</v>
      </c>
      <c r="S177" s="2" t="str">
        <f>"南通市通州区华夏传承府"</f>
        <v>南通市通州区华夏传承府</v>
      </c>
      <c r="T177" s="2" t="str">
        <f>"226300"</f>
        <v>226300</v>
      </c>
      <c r="U177" s="2" t="str">
        <f>"无"</f>
        <v>无</v>
      </c>
      <c r="V177" s="2" t="str">
        <f>"18260509044"</f>
        <v>18260509044</v>
      </c>
      <c r="W177" s="2" t="str">
        <f>"二级乙等"</f>
        <v>二级乙等</v>
      </c>
      <c r="X177" s="2" t="str">
        <f t="shared" si="93"/>
        <v>否</v>
      </c>
      <c r="Y177" s="2" t="str">
        <f>"大学英语六级"</f>
        <v>大学英语六级</v>
      </c>
      <c r="Z177" s="2" t="str">
        <f>"学位计算机二级"</f>
        <v>学位计算机二级</v>
      </c>
      <c r="AA177" s="2" t="str">
        <f>"父女|张卫东|南通市通州区张謇学校|母女|查美娟|南通市通州特殊教育学校||||||"</f>
        <v>父女|张卫东|南通市通州区张謇学校|母女|查美娟|南通市通州特殊教育学校||||||</v>
      </c>
      <c r="AB177" s="2" t="str">
        <f>"2010.09-2013.06 如东高级中学 学生_x000D_
2013.09-2017.06 南京晓庄学院人文地理与城乡规划专业 学生_x000D_
2017.04-2018.04 车城网络科技（上海）有限公司 职员_x000D_
2018.07至今 南通市通州区市场监督管理局 文员"</f>
        <v>2010.09-2013.06 如东高级中学 学生_x000D_
2013.09-2017.06 南京晓庄学院人文地理与城乡规划专业 学生_x000D_
2017.04-2018.04 车城网络科技（上海）有限公司 职员_x000D_
2018.07至今 南通市通州区市场监督管理局 文员</v>
      </c>
      <c r="AC177" s="2" t="str">
        <f t="shared" si="101"/>
        <v>无</v>
      </c>
      <c r="AD177" s="2" t="str">
        <f>""</f>
        <v/>
      </c>
      <c r="AE177" s="4">
        <v>43432.642708333333</v>
      </c>
      <c r="AF177" s="2">
        <v>1</v>
      </c>
      <c r="AG177" s="2">
        <v>1</v>
      </c>
      <c r="AH177" s="2">
        <v>2</v>
      </c>
      <c r="AI177" s="2" t="str">
        <f>"18002014517"</f>
        <v>18002014517</v>
      </c>
      <c r="AJ177" s="2">
        <v>45</v>
      </c>
      <c r="AK177" s="2">
        <v>17</v>
      </c>
      <c r="AL177" s="2" t="s">
        <v>119</v>
      </c>
      <c r="AM177" s="2" t="s">
        <v>120</v>
      </c>
      <c r="AN177" s="2">
        <v>1</v>
      </c>
      <c r="AO177" s="2">
        <v>4037</v>
      </c>
      <c r="AP177" s="2" t="s">
        <v>150</v>
      </c>
      <c r="AQ177" s="2"/>
      <c r="AR177" s="2" t="s">
        <v>330</v>
      </c>
      <c r="AS177" s="3" t="s">
        <v>331</v>
      </c>
      <c r="AT177" s="2" t="s">
        <v>117</v>
      </c>
      <c r="AU177" s="2" t="s">
        <v>117</v>
      </c>
      <c r="AV177" s="7">
        <v>68.900000000000006</v>
      </c>
      <c r="AW177" s="2">
        <v>1</v>
      </c>
      <c r="AX177" s="2"/>
      <c r="AY177" s="2"/>
    </row>
    <row r="178" spans="1:51" ht="18.75" customHeight="1">
      <c r="A178" t="str">
        <f>"1002201811291957116299"</f>
        <v>1002201811291957116299</v>
      </c>
      <c r="B178" s="9">
        <v>176</v>
      </c>
      <c r="C178" s="2" t="s">
        <v>194</v>
      </c>
      <c r="D178" s="2" t="str">
        <f>"周灵玉"</f>
        <v>周灵玉</v>
      </c>
      <c r="E178" s="2" t="str">
        <f t="shared" si="103"/>
        <v>女</v>
      </c>
      <c r="F178" s="2" t="str">
        <f>"1995.04.05"</f>
        <v>1995.04.05</v>
      </c>
      <c r="G178" s="2" t="str">
        <f>"320683199504051565"</f>
        <v>320683199504051565</v>
      </c>
      <c r="H178" s="2" t="str">
        <f>"南通市通州区二甲镇宝云山村23组10号"</f>
        <v>南通市通州区二甲镇宝云山村23组10号</v>
      </c>
      <c r="I178" s="2" t="str">
        <f t="shared" si="104"/>
        <v>非应届生</v>
      </c>
      <c r="J178" s="2" t="str">
        <f t="shared" si="105"/>
        <v>无</v>
      </c>
      <c r="K178" s="2" t="str">
        <f>"2017.06"</f>
        <v>2017.06</v>
      </c>
      <c r="L178" s="2" t="str">
        <f t="shared" si="84"/>
        <v>学士</v>
      </c>
      <c r="M178" s="2" t="str">
        <f>"盐城师范学院"</f>
        <v>盐城师范学院</v>
      </c>
      <c r="N178" s="2" t="str">
        <f>"人文地理与城乡规划"</f>
        <v>人文地理与城乡规划</v>
      </c>
      <c r="O178" s="2" t="str">
        <f t="shared" si="79"/>
        <v>本科</v>
      </c>
      <c r="P178" s="2" t="str">
        <f>"155"</f>
        <v>155</v>
      </c>
      <c r="Q178" s="2" t="str">
        <f>"江苏长江口开发集团有限公司"</f>
        <v>江苏长江口开发集团有限公司</v>
      </c>
      <c r="R178" s="2" t="str">
        <f>"2018.08"</f>
        <v>2018.08</v>
      </c>
      <c r="S178" s="2" t="str">
        <f>"南通市通州区二甲镇宝云山村23组10号"</f>
        <v>南通市通州区二甲镇宝云山村23组10号</v>
      </c>
      <c r="T178" s="2" t="str">
        <f>"226300"</f>
        <v>226300</v>
      </c>
      <c r="U178" s="2" t="str">
        <f>"无"</f>
        <v>无</v>
      </c>
      <c r="V178" s="2" t="str">
        <f>"15162738432"</f>
        <v>15162738432</v>
      </c>
      <c r="W178" s="2" t="str">
        <f>"无"</f>
        <v>无</v>
      </c>
      <c r="X178" s="2" t="str">
        <f t="shared" si="93"/>
        <v>否</v>
      </c>
      <c r="Y178" s="2" t="str">
        <f>"英语六级"</f>
        <v>英语六级</v>
      </c>
      <c r="Z178" s="2" t="str">
        <f>"全国计算机二级"</f>
        <v>全国计算机二级</v>
      </c>
      <c r="AA178" s="2" t="str">
        <f>"父亲|周荣|南通市通州区|母亲|王玉萍|南通市通州区||||||"</f>
        <v>父亲|周荣|南通市通州区|母亲|王玉萍|南通市通州区||||||</v>
      </c>
      <c r="AB178" s="2" t="str">
        <f>"2010.09-2013.06 西亭高级中学  学生_x000D_
2013.09-2017.6 盐城师范学院  学生_x000D_
2018.08至今  江苏长江口开发集团有限公司 职员_x000D_
"</f>
        <v xml:space="preserve">2010.09-2013.06 西亭高级中学  学生_x000D_
2013.09-2017.6 盐城师范学院  学生_x000D_
2018.08至今  江苏长江口开发集团有限公司 职员_x000D_
</v>
      </c>
      <c r="AC178" s="2" t="str">
        <f t="shared" si="101"/>
        <v>无</v>
      </c>
      <c r="AD178" s="2" t="str">
        <f>""</f>
        <v/>
      </c>
      <c r="AE178" s="4">
        <v>43434.406377314815</v>
      </c>
      <c r="AF178" s="2">
        <v>1</v>
      </c>
      <c r="AG178" s="2">
        <v>1</v>
      </c>
      <c r="AH178" s="2">
        <v>3</v>
      </c>
      <c r="AI178" s="2" t="str">
        <f>"18002014511"</f>
        <v>18002014511</v>
      </c>
      <c r="AJ178" s="2">
        <v>45</v>
      </c>
      <c r="AK178" s="2">
        <v>11</v>
      </c>
      <c r="AL178" s="2" t="s">
        <v>119</v>
      </c>
      <c r="AM178" s="2" t="s">
        <v>120</v>
      </c>
      <c r="AN178" s="2">
        <v>1</v>
      </c>
      <c r="AO178" s="2">
        <v>2534</v>
      </c>
      <c r="AP178" s="2" t="s">
        <v>195</v>
      </c>
      <c r="AQ178" s="2"/>
      <c r="AR178" s="2" t="s">
        <v>330</v>
      </c>
      <c r="AS178" s="3" t="s">
        <v>331</v>
      </c>
      <c r="AT178" s="2" t="s">
        <v>117</v>
      </c>
      <c r="AU178" s="2" t="s">
        <v>117</v>
      </c>
      <c r="AV178" s="7">
        <v>68.349999999999994</v>
      </c>
      <c r="AW178" s="2">
        <v>2</v>
      </c>
      <c r="AX178" s="2"/>
      <c r="AY178" s="2"/>
    </row>
    <row r="179" spans="1:51" ht="18.75" customHeight="1">
      <c r="A179" t="str">
        <f>"1002201811281107154687"</f>
        <v>1002201811281107154687</v>
      </c>
      <c r="B179" s="9">
        <v>177</v>
      </c>
      <c r="C179" s="2" t="s">
        <v>194</v>
      </c>
      <c r="D179" s="2" t="str">
        <f>"蒋培"</f>
        <v>蒋培</v>
      </c>
      <c r="E179" s="2" t="str">
        <f t="shared" si="103"/>
        <v>女</v>
      </c>
      <c r="F179" s="2" t="str">
        <f>"1996-06-17"</f>
        <v>1996-06-17</v>
      </c>
      <c r="G179" s="2" t="str">
        <f>"320683199606174128"</f>
        <v>320683199606174128</v>
      </c>
      <c r="H179" s="2" t="str">
        <f>"江苏省南通市通州区"</f>
        <v>江苏省南通市通州区</v>
      </c>
      <c r="I179" s="2" t="str">
        <f>"应届生"</f>
        <v>应届生</v>
      </c>
      <c r="J179" s="2" t="str">
        <f t="shared" si="105"/>
        <v>无</v>
      </c>
      <c r="K179" s="2" t="str">
        <f>"2018.07"</f>
        <v>2018.07</v>
      </c>
      <c r="L179" s="2" t="str">
        <f t="shared" si="84"/>
        <v>学士</v>
      </c>
      <c r="M179" s="2" t="str">
        <f>"南京师范大学"</f>
        <v>南京师范大学</v>
      </c>
      <c r="N179" s="2" t="str">
        <f>"人文地理与城乡规划"</f>
        <v>人文地理与城乡规划</v>
      </c>
      <c r="O179" s="2" t="str">
        <f t="shared" si="79"/>
        <v>本科</v>
      </c>
      <c r="P179" s="2" t="str">
        <f>"168"</f>
        <v>168</v>
      </c>
      <c r="Q179" s="2" t="str">
        <f>"无"</f>
        <v>无</v>
      </c>
      <c r="R179" s="2" t="str">
        <f>"无"</f>
        <v>无</v>
      </c>
      <c r="S179" s="2" t="str">
        <f>"江苏省南通市通州区新金街道杏园路66号江海皇都小区102幢"</f>
        <v>江苏省南通市通州区新金街道杏园路66号江海皇都小区102幢</v>
      </c>
      <c r="T179" s="2" t="str">
        <f>"226300"</f>
        <v>226300</v>
      </c>
      <c r="U179" s="2" t="str">
        <f>"86514597"</f>
        <v>86514597</v>
      </c>
      <c r="V179" s="2" t="str">
        <f>"18052099061"</f>
        <v>18052099061</v>
      </c>
      <c r="W179" s="2" t="str">
        <f>"二级甲等"</f>
        <v>二级甲等</v>
      </c>
      <c r="X179" s="2" t="str">
        <f t="shared" si="93"/>
        <v>否</v>
      </c>
      <c r="Y179" s="2" t="str">
        <f>"四级"</f>
        <v>四级</v>
      </c>
      <c r="Z179" s="2" t="str">
        <f>"江苏省计算机二级Visual Foxpro"</f>
        <v>江苏省计算机二级Visual Foxpro</v>
      </c>
      <c r="AA179" s="2" t="str">
        <f>"父亲|蒋卫兵|江苏省南通市通州区区政府|母亲|张志娟|江苏省南通市通州区金沙街道北山社区||||||"</f>
        <v>父亲|蒋卫兵|江苏省南通市通州区区政府|母亲|张志娟|江苏省南通市通州区金沙街道北山社区||||||</v>
      </c>
      <c r="AB179" s="2" t="str">
        <f>"2014.09-2018.07南京师范大学人文地理与城乡规划专业 学生"</f>
        <v>2014.09-2018.07南京师范大学人文地理与城乡规划专业 学生</v>
      </c>
      <c r="AC179" s="2" t="str">
        <f t="shared" si="101"/>
        <v>无</v>
      </c>
      <c r="AD179" s="2" t="str">
        <f>""</f>
        <v/>
      </c>
      <c r="AE179" s="4">
        <v>43433.457719907405</v>
      </c>
      <c r="AF179" s="2">
        <v>1</v>
      </c>
      <c r="AG179" s="2">
        <v>1</v>
      </c>
      <c r="AH179" s="2">
        <v>4</v>
      </c>
      <c r="AI179" s="2" t="str">
        <f>"18002014604"</f>
        <v>18002014604</v>
      </c>
      <c r="AJ179" s="2">
        <v>46</v>
      </c>
      <c r="AK179" s="2">
        <v>4</v>
      </c>
      <c r="AL179" s="2" t="s">
        <v>119</v>
      </c>
      <c r="AM179" s="2" t="s">
        <v>120</v>
      </c>
      <c r="AN179" s="2">
        <v>1</v>
      </c>
      <c r="AO179" s="2">
        <v>7242</v>
      </c>
      <c r="AP179" s="2" t="s">
        <v>196</v>
      </c>
      <c r="AQ179" s="2"/>
      <c r="AR179" s="2" t="s">
        <v>330</v>
      </c>
      <c r="AS179" s="3" t="s">
        <v>331</v>
      </c>
      <c r="AT179" s="2" t="s">
        <v>117</v>
      </c>
      <c r="AU179" s="2" t="s">
        <v>117</v>
      </c>
      <c r="AV179" s="7">
        <v>67.150000000000006</v>
      </c>
      <c r="AW179" s="2">
        <v>3</v>
      </c>
      <c r="AX179" s="2"/>
      <c r="AY179" s="2"/>
    </row>
    <row r="180" spans="1:51" ht="18.75" customHeight="1">
      <c r="A180" t="str">
        <f>"1002201811271052043456"</f>
        <v>1002201811271052043456</v>
      </c>
      <c r="B180" s="9">
        <v>178</v>
      </c>
      <c r="C180" s="2" t="s">
        <v>197</v>
      </c>
      <c r="D180" s="2" t="str">
        <f>"宋成钰"</f>
        <v>宋成钰</v>
      </c>
      <c r="E180" s="2" t="str">
        <f>"女"</f>
        <v>女</v>
      </c>
      <c r="F180" s="2" t="str">
        <f>"1994-01-10"</f>
        <v>1994-01-10</v>
      </c>
      <c r="G180" s="2" t="str">
        <f>"320681199401105820"</f>
        <v>320681199401105820</v>
      </c>
      <c r="H180" s="2" t="str">
        <f>"江苏启东"</f>
        <v>江苏启东</v>
      </c>
      <c r="I180" s="2" t="str">
        <f>"应届生"</f>
        <v>应届生</v>
      </c>
      <c r="J180" s="2" t="str">
        <f>"无"</f>
        <v>无</v>
      </c>
      <c r="K180" s="2" t="str">
        <f>"2019.07"</f>
        <v>2019.07</v>
      </c>
      <c r="L180" s="2" t="str">
        <f>"研究生"</f>
        <v>研究生</v>
      </c>
      <c r="M180" s="2" t="str">
        <f>"扬州大学农学院"</f>
        <v>扬州大学农学院</v>
      </c>
      <c r="N180" s="2" t="str">
        <f>"作物耕作学与栽培学"</f>
        <v>作物耕作学与栽培学</v>
      </c>
      <c r="O180" s="2" t="str">
        <f>"硕士"</f>
        <v>硕士</v>
      </c>
      <c r="P180" s="2" t="str">
        <f>"160"</f>
        <v>160</v>
      </c>
      <c r="Q180" s="2" t="str">
        <f>"无"</f>
        <v>无</v>
      </c>
      <c r="R180" s="2" t="str">
        <f>"无"</f>
        <v>无</v>
      </c>
      <c r="S180" s="2" t="str">
        <f>"江苏省南通市启东市汇龙镇汇东新村25号楼406"</f>
        <v>江苏省南通市启东市汇龙镇汇东新村25号楼406</v>
      </c>
      <c r="T180" s="2" t="str">
        <f>"226200"</f>
        <v>226200</v>
      </c>
      <c r="U180" s="2" t="str">
        <f>"0513-83200345"</f>
        <v>0513-83200345</v>
      </c>
      <c r="V180" s="2" t="str">
        <f>"13815244725"</f>
        <v>13815244725</v>
      </c>
      <c r="W180" s="2" t="str">
        <f>"二级甲等"</f>
        <v>二级甲等</v>
      </c>
      <c r="X180" s="2" t="str">
        <f t="shared" si="93"/>
        <v>否</v>
      </c>
      <c r="Y180" s="2" t="str">
        <f>"英语六级"</f>
        <v>英语六级</v>
      </c>
      <c r="Z180" s="2" t="str">
        <f>"熟练"</f>
        <v>熟练</v>
      </c>
      <c r="AA180" s="2" t="str">
        <f>"父亲|钱宋浩|个体|母亲|季玩兴|个体||||||"</f>
        <v>父亲|钱宋浩|个体|母亲|季玩兴|个体||||||</v>
      </c>
      <c r="AB180" s="2" t="str">
        <f>"2009.09-2012.06  启东市汇龙中学高中学习并毕业；_x000D_
2012.09-2016.06  扬州大学农学院农学（农业信息技术）专业学习并毕业；_x000D_
2016.09-2019.06  扬州大学农学院作物栽培学与耕作学专业硕士研究生学习并毕业。_x000D_
（其间：2017.10-2018.10 加拿大农业部魁北克研究与发展中心交流学习一年。）_x000D_
"</f>
        <v xml:space="preserve">2009.09-2012.06  启东市汇龙中学高中学习并毕业；_x000D_
2012.09-2016.06  扬州大学农学院农学（农业信息技术）专业学习并毕业；_x000D_
2016.09-2019.06  扬州大学农学院作物栽培学与耕作学专业硕士研究生学习并毕业。_x000D_
（其间：2017.10-2018.10 加拿大农业部魁北克研究与发展中心交流学习一年。）_x000D_
</v>
      </c>
      <c r="AC180" s="5" t="s">
        <v>200</v>
      </c>
      <c r="AD180" s="2" t="str">
        <f>""</f>
        <v/>
      </c>
      <c r="AE180" s="4">
        <v>43431.496759259258</v>
      </c>
      <c r="AF180" s="2">
        <v>1</v>
      </c>
      <c r="AG180" s="2">
        <v>1</v>
      </c>
      <c r="AH180" s="2">
        <v>5</v>
      </c>
      <c r="AI180" s="2" t="str">
        <f>"18002014726"</f>
        <v>18002014726</v>
      </c>
      <c r="AJ180" s="2">
        <v>47</v>
      </c>
      <c r="AK180" s="2">
        <v>26</v>
      </c>
      <c r="AL180" s="2" t="s">
        <v>119</v>
      </c>
      <c r="AM180" s="2" t="s">
        <v>120</v>
      </c>
      <c r="AN180" s="2">
        <v>1</v>
      </c>
      <c r="AO180" s="2">
        <v>7343</v>
      </c>
      <c r="AP180" s="2" t="s">
        <v>201</v>
      </c>
      <c r="AQ180" s="2"/>
      <c r="AR180" s="2" t="s">
        <v>330</v>
      </c>
      <c r="AS180" s="3" t="s">
        <v>331</v>
      </c>
      <c r="AT180" s="2" t="s">
        <v>117</v>
      </c>
      <c r="AU180" s="2" t="s">
        <v>117</v>
      </c>
      <c r="AV180" s="7">
        <v>72.55</v>
      </c>
      <c r="AW180" s="2">
        <v>1</v>
      </c>
      <c r="AX180" s="2"/>
      <c r="AY180" s="2"/>
    </row>
    <row r="181" spans="1:51" ht="18.75" customHeight="1">
      <c r="A181" t="str">
        <f>"1002201811261223241498"</f>
        <v>1002201811261223241498</v>
      </c>
      <c r="B181" s="9">
        <v>179</v>
      </c>
      <c r="C181" s="2" t="s">
        <v>197</v>
      </c>
      <c r="D181" s="2" t="str">
        <f>"陆伟婷"</f>
        <v>陆伟婷</v>
      </c>
      <c r="E181" s="2" t="str">
        <f>"女"</f>
        <v>女</v>
      </c>
      <c r="F181" s="2" t="str">
        <f>"1991-11-20"</f>
        <v>1991-11-20</v>
      </c>
      <c r="G181" s="2" t="str">
        <f>"320682199111201028"</f>
        <v>320682199111201028</v>
      </c>
      <c r="H181" s="2" t="str">
        <f>"江苏省如皋市"</f>
        <v>江苏省如皋市</v>
      </c>
      <c r="I181" s="2" t="str">
        <f>"非应届生"</f>
        <v>非应届生</v>
      </c>
      <c r="J181" s="2" t="str">
        <f>"无"</f>
        <v>无</v>
      </c>
      <c r="K181" s="2" t="str">
        <f>"2017.06"</f>
        <v>2017.06</v>
      </c>
      <c r="L181" s="2" t="str">
        <f>"研究生"</f>
        <v>研究生</v>
      </c>
      <c r="M181" s="2" t="str">
        <f>"南京农业大学"</f>
        <v>南京农业大学</v>
      </c>
      <c r="N181" s="2" t="str">
        <f>"作物栽培学与耕作学"</f>
        <v>作物栽培学与耕作学</v>
      </c>
      <c r="O181" s="2" t="str">
        <f>"硕士"</f>
        <v>硕士</v>
      </c>
      <c r="P181" s="2" t="str">
        <f>"162"</f>
        <v>162</v>
      </c>
      <c r="Q181" s="2" t="str">
        <f>"上海市上海农场川东种植事业部"</f>
        <v>上海市上海农场川东种植事业部</v>
      </c>
      <c r="R181" s="2" t="str">
        <f>"2017.07"</f>
        <v>2017.07</v>
      </c>
      <c r="S181" s="2" t="str">
        <f>"江苏省如皋市雪岸居委会28组"</f>
        <v>江苏省如皋市雪岸居委会28组</v>
      </c>
      <c r="T181" s="2" t="str">
        <f>"226500"</f>
        <v>226500</v>
      </c>
      <c r="U181" s="2" t="str">
        <f>"无"</f>
        <v>无</v>
      </c>
      <c r="V181" s="2" t="str">
        <f>"13770673880"</f>
        <v>13770673880</v>
      </c>
      <c r="W181" s="2" t="str">
        <f>"无"</f>
        <v>无</v>
      </c>
      <c r="X181" s="2" t="str">
        <f t="shared" si="93"/>
        <v>否</v>
      </c>
      <c r="Y181" s="2" t="str">
        <f>"CET-6"</f>
        <v>CET-6</v>
      </c>
      <c r="Z181" s="2" t="str">
        <f>"无"</f>
        <v>无</v>
      </c>
      <c r="AA181" s="2" t="str">
        <f>"母亲|周小兰|江苏省如皋市雪岸居委会28组|祖母|冒素英|江苏省如皋市雪岸居委会28组||||||"</f>
        <v>母亲|周小兰|江苏省如皋市雪岸居委会28组|祖母|冒素英|江苏省如皋市雪岸居委会28组||||||</v>
      </c>
      <c r="AB181" s="2" t="str">
        <f>"2007.09-2010.06 江苏省栟茶高级中学 学生_x000D_
2010.09-2014.06 南京农业大学 种子科学与工程 学生_x000D_
2014.09-2017.06 南京农业大学 作物栽培学与耕作学 学生_x000D_
2017.07-至今    上海市上海农场 职员"</f>
        <v>2007.09-2010.06 江苏省栟茶高级中学 学生_x000D_
2010.09-2014.06 南京农业大学 种子科学与工程 学生_x000D_
2014.09-2017.06 南京农业大学 作物栽培学与耕作学 学生_x000D_
2017.07-至今    上海市上海农场 职员</v>
      </c>
      <c r="AC181" s="2" t="str">
        <f>"无"</f>
        <v>无</v>
      </c>
      <c r="AD181" s="2" t="str">
        <f>""</f>
        <v/>
      </c>
      <c r="AE181" s="4">
        <v>43430.688263888886</v>
      </c>
      <c r="AF181" s="2">
        <v>1</v>
      </c>
      <c r="AG181" s="2">
        <v>1</v>
      </c>
      <c r="AH181" s="2">
        <v>5</v>
      </c>
      <c r="AI181" s="2" t="str">
        <f>"18002014718"</f>
        <v>18002014718</v>
      </c>
      <c r="AJ181" s="2">
        <v>47</v>
      </c>
      <c r="AK181" s="2">
        <v>18</v>
      </c>
      <c r="AL181" s="2" t="s">
        <v>119</v>
      </c>
      <c r="AM181" s="2" t="s">
        <v>120</v>
      </c>
      <c r="AN181" s="2">
        <v>1</v>
      </c>
      <c r="AO181" s="2">
        <v>5557</v>
      </c>
      <c r="AP181" s="2" t="s">
        <v>199</v>
      </c>
      <c r="AQ181" s="2"/>
      <c r="AR181" s="2" t="s">
        <v>330</v>
      </c>
      <c r="AS181" s="3" t="s">
        <v>331</v>
      </c>
      <c r="AT181" s="2" t="s">
        <v>117</v>
      </c>
      <c r="AU181" s="2" t="s">
        <v>117</v>
      </c>
      <c r="AV181" s="7">
        <v>70.349999999999994</v>
      </c>
      <c r="AW181" s="2">
        <v>2</v>
      </c>
      <c r="AX181" s="2"/>
      <c r="AY181" s="2"/>
    </row>
    <row r="182" spans="1:51" ht="18.75" customHeight="1">
      <c r="A182" t="str">
        <f>"1002201811271002353338"</f>
        <v>1002201811271002353338</v>
      </c>
      <c r="B182" s="9">
        <v>180</v>
      </c>
      <c r="C182" s="2" t="s">
        <v>197</v>
      </c>
      <c r="D182" s="2" t="str">
        <f>"屠晓"</f>
        <v>屠晓</v>
      </c>
      <c r="E182" s="2" t="str">
        <f>"女"</f>
        <v>女</v>
      </c>
      <c r="F182" s="2" t="str">
        <f>"1994-08-22"</f>
        <v>1994-08-22</v>
      </c>
      <c r="G182" s="2" t="str">
        <f>"320924199408228523"</f>
        <v>320924199408228523</v>
      </c>
      <c r="H182" s="2" t="str">
        <f>"江苏射阳"</f>
        <v>江苏射阳</v>
      </c>
      <c r="I182" s="2" t="str">
        <f>"应届生"</f>
        <v>应届生</v>
      </c>
      <c r="J182" s="2" t="str">
        <f>"无"</f>
        <v>无</v>
      </c>
      <c r="K182" s="2" t="str">
        <f>"2019.06"</f>
        <v>2019.06</v>
      </c>
      <c r="L182" s="2" t="str">
        <f>"研究生"</f>
        <v>研究生</v>
      </c>
      <c r="M182" s="2" t="str">
        <f>"扬州大学"</f>
        <v>扬州大学</v>
      </c>
      <c r="N182" s="2" t="str">
        <f>"作物栽培学与耕作学"</f>
        <v>作物栽培学与耕作学</v>
      </c>
      <c r="O182" s="2" t="str">
        <f>"硕士"</f>
        <v>硕士</v>
      </c>
      <c r="P182" s="2" t="str">
        <f>"172"</f>
        <v>172</v>
      </c>
      <c r="Q182" s="2" t="str">
        <f>"无"</f>
        <v>无</v>
      </c>
      <c r="R182" s="2" t="str">
        <f>"2019.07"</f>
        <v>2019.07</v>
      </c>
      <c r="S182" s="2" t="str">
        <f>"江苏扬州市邗江区扬州大学文汇路校区农学院"</f>
        <v>江苏扬州市邗江区扬州大学文汇路校区农学院</v>
      </c>
      <c r="T182" s="2" t="str">
        <f>"225000"</f>
        <v>225000</v>
      </c>
      <c r="U182" s="2" t="str">
        <f>"15705273373"</f>
        <v>15705273373</v>
      </c>
      <c r="V182" s="2" t="str">
        <f>"15705273373"</f>
        <v>15705273373</v>
      </c>
      <c r="W182" s="2" t="str">
        <f>"无"</f>
        <v>无</v>
      </c>
      <c r="X182" s="2" t="str">
        <f t="shared" si="93"/>
        <v>否</v>
      </c>
      <c r="Y182" s="2" t="str">
        <f>"英语六级"</f>
        <v>英语六级</v>
      </c>
      <c r="Z182" s="2" t="str">
        <f>"熟练"</f>
        <v>熟练</v>
      </c>
      <c r="AA182" s="2" t="str">
        <f>"父亲|屠德文|广西南宁务工|母亲|张玉兰|江苏淮安务农||||||"</f>
        <v>父亲|屠德文|广西南宁务工|母亲|张玉兰|江苏淮安务农||||||</v>
      </c>
      <c r="AB182" s="2" t="str">
        <f>"2009.09-2012.06 江苏省淮安中学 学生_x000D_
2012.09-2016.06 扬州大学农学院农学专业 学生_x000D_
2016.09-2019.06 扬州大学农学院作物栽培学与耕作学专业 学生"</f>
        <v>2009.09-2012.06 江苏省淮安中学 学生_x000D_
2012.09-2016.06 扬州大学农学院农学专业 学生_x000D_
2016.09-2019.06 扬州大学农学院作物栽培学与耕作学专业 学生</v>
      </c>
      <c r="AC182" s="2" t="str">
        <f>"本人本科与硕士研究生阶段均从事农业类研究，本科结束被保送就读农学院硕士研究生，有很强的学习能力；另外本人在本科和硕士研究生阶段均担任过学生干部，有出色的组织管理能力；"</f>
        <v>本人本科与硕士研究生阶段均从事农业类研究，本科结束被保送就读农学院硕士研究生，有很强的学习能力；另外本人在本科和硕士研究生阶段均担任过学生干部，有出色的组织管理能力；</v>
      </c>
      <c r="AD182" s="2" t="str">
        <f>"无"</f>
        <v>无</v>
      </c>
      <c r="AE182" s="4">
        <v>43431.491863425923</v>
      </c>
      <c r="AF182" s="2">
        <v>1</v>
      </c>
      <c r="AG182" s="2">
        <v>1</v>
      </c>
      <c r="AH182" s="2">
        <v>2</v>
      </c>
      <c r="AI182" s="2" t="str">
        <f>"18002014704"</f>
        <v>18002014704</v>
      </c>
      <c r="AJ182" s="2">
        <v>47</v>
      </c>
      <c r="AK182" s="2">
        <v>4</v>
      </c>
      <c r="AL182" s="2" t="s">
        <v>119</v>
      </c>
      <c r="AM182" s="2" t="s">
        <v>120</v>
      </c>
      <c r="AN182" s="2">
        <v>1</v>
      </c>
      <c r="AO182" s="2">
        <v>4074</v>
      </c>
      <c r="AP182" s="2" t="s">
        <v>198</v>
      </c>
      <c r="AQ182" s="2"/>
      <c r="AR182" s="2" t="s">
        <v>330</v>
      </c>
      <c r="AS182" s="3" t="s">
        <v>331</v>
      </c>
      <c r="AT182" s="2" t="s">
        <v>117</v>
      </c>
      <c r="AU182" s="2" t="s">
        <v>117</v>
      </c>
      <c r="AV182" s="7">
        <v>69.849999999999994</v>
      </c>
      <c r="AW182" s="2">
        <v>3</v>
      </c>
      <c r="AX182" s="2"/>
      <c r="AY182" s="2"/>
    </row>
    <row r="183" spans="1:51" ht="18.75" customHeight="1">
      <c r="A183" t="str">
        <f>"1002201811300915046699"</f>
        <v>1002201811300915046699</v>
      </c>
      <c r="B183" s="9">
        <v>181</v>
      </c>
      <c r="C183" s="2" t="s">
        <v>202</v>
      </c>
      <c r="D183" s="2" t="str">
        <f>"沈晓云"</f>
        <v>沈晓云</v>
      </c>
      <c r="E183" s="2" t="str">
        <f t="shared" ref="E183:E185" si="106">"女"</f>
        <v>女</v>
      </c>
      <c r="F183" s="2" t="str">
        <f>"1994-01-19"</f>
        <v>1994-01-19</v>
      </c>
      <c r="G183" s="2" t="str">
        <f>"320623199401190064"</f>
        <v>320623199401190064</v>
      </c>
      <c r="H183" s="2" t="str">
        <f>"江苏如东"</f>
        <v>江苏如东</v>
      </c>
      <c r="I183" s="2" t="str">
        <f t="shared" ref="I183:I223" si="107">"非应届生"</f>
        <v>非应届生</v>
      </c>
      <c r="J183" s="2" t="str">
        <f>"无"</f>
        <v>无</v>
      </c>
      <c r="K183" s="2" t="str">
        <f>"2015.6"</f>
        <v>2015.6</v>
      </c>
      <c r="L183" s="2" t="str">
        <f t="shared" ref="L183:L194" si="108">"学士"</f>
        <v>学士</v>
      </c>
      <c r="M183" s="2" t="str">
        <f>"扬州大学"</f>
        <v>扬州大学</v>
      </c>
      <c r="N183" s="2" t="str">
        <f t="shared" ref="N183:N185" si="109">"法学"</f>
        <v>法学</v>
      </c>
      <c r="O183" s="2" t="str">
        <f t="shared" ref="O183:O194" si="110">"本科"</f>
        <v>本科</v>
      </c>
      <c r="P183" s="2" t="str">
        <f>"162"</f>
        <v>162</v>
      </c>
      <c r="Q183" s="2" t="str">
        <f>"如东县公证处"</f>
        <v>如东县公证处</v>
      </c>
      <c r="R183" s="2" t="str">
        <f>"2018.2"</f>
        <v>2018.2</v>
      </c>
      <c r="S183" s="2" t="str">
        <f>"江苏省如东县幸福路16号"</f>
        <v>江苏省如东县幸福路16号</v>
      </c>
      <c r="T183" s="2" t="str">
        <f>"226400"</f>
        <v>226400</v>
      </c>
      <c r="U183" s="2" t="str">
        <f>"0513-84253792"</f>
        <v>0513-84253792</v>
      </c>
      <c r="V183" s="2" t="str">
        <f>"15371751063"</f>
        <v>15371751063</v>
      </c>
      <c r="W183" s="2" t="str">
        <f>"二级乙等"</f>
        <v>二级乙等</v>
      </c>
      <c r="X183" s="2" t="str">
        <f t="shared" si="93"/>
        <v>否</v>
      </c>
      <c r="Y183" s="2" t="str">
        <f>"英语四级"</f>
        <v>英语四级</v>
      </c>
      <c r="Z183" s="2" t="str">
        <f>"全国计算机二级"</f>
        <v>全国计算机二级</v>
      </c>
      <c r="AA183" s="2" t="str">
        <f>"父亲|沈亚辉|个体|母亲|陆琴|个体||||||"</f>
        <v>父亲|沈亚辉|个体|母亲|陆琴|个体||||||</v>
      </c>
      <c r="AB183" s="2" t="str">
        <f>"2008.09-2011.06  江苏省如东高级中学  学生_x000D_
2011.09-2015.06  扬州大学法学院法学专业  学生_x000D_
2015.09-2018.02  江苏南黄海律师事务所  律师助理  _x000D_
2018.02至今      如东县公证处   公证员助理          "</f>
        <v xml:space="preserve">2008.09-2011.06  江苏省如东高级中学  学生_x000D_
2011.09-2015.06  扬州大学法学院法学专业  学生_x000D_
2015.09-2018.02  江苏南黄海律师事务所  律师助理  _x000D_
2018.02至今      如东县公证处   公证员助理          </v>
      </c>
      <c r="AC183" s="2" t="str">
        <f t="shared" ref="AC183:AC191" si="111">"无"</f>
        <v>无</v>
      </c>
      <c r="AD183" s="2" t="str">
        <f>""</f>
        <v/>
      </c>
      <c r="AE183" s="4">
        <v>43434.415671296294</v>
      </c>
      <c r="AF183" s="2">
        <v>1</v>
      </c>
      <c r="AG183" s="2">
        <v>1</v>
      </c>
      <c r="AH183" s="2">
        <v>1</v>
      </c>
      <c r="AI183" s="2" t="str">
        <f>"18002014905"</f>
        <v>18002014905</v>
      </c>
      <c r="AJ183" s="2">
        <v>49</v>
      </c>
      <c r="AK183" s="2">
        <v>5</v>
      </c>
      <c r="AL183" s="2" t="s">
        <v>119</v>
      </c>
      <c r="AM183" s="2" t="s">
        <v>120</v>
      </c>
      <c r="AN183" s="2">
        <v>1</v>
      </c>
      <c r="AO183" s="2">
        <v>5016</v>
      </c>
      <c r="AP183" s="2" t="s">
        <v>204</v>
      </c>
      <c r="AQ183" s="2"/>
      <c r="AR183" s="2" t="s">
        <v>330</v>
      </c>
      <c r="AS183" s="3" t="s">
        <v>331</v>
      </c>
      <c r="AT183" s="2" t="s">
        <v>117</v>
      </c>
      <c r="AU183" s="2" t="s">
        <v>117</v>
      </c>
      <c r="AV183" s="7">
        <v>70.3</v>
      </c>
      <c r="AW183" s="2">
        <v>1</v>
      </c>
      <c r="AX183" s="2"/>
      <c r="AY183" s="2"/>
    </row>
    <row r="184" spans="1:51" ht="18.75" customHeight="1">
      <c r="A184" t="str">
        <f>"1002201811281928165203"</f>
        <v>1002201811281928165203</v>
      </c>
      <c r="B184" s="9">
        <v>182</v>
      </c>
      <c r="C184" s="2" t="s">
        <v>202</v>
      </c>
      <c r="D184" s="2" t="str">
        <f>"于海丽"</f>
        <v>于海丽</v>
      </c>
      <c r="E184" s="2" t="str">
        <f t="shared" si="106"/>
        <v>女</v>
      </c>
      <c r="F184" s="2" t="str">
        <f>"1993-10-20"</f>
        <v>1993-10-20</v>
      </c>
      <c r="G184" s="2" t="str">
        <f>"320682199310204088"</f>
        <v>320682199310204088</v>
      </c>
      <c r="H184" s="2" t="str">
        <f>"如皋"</f>
        <v>如皋</v>
      </c>
      <c r="I184" s="2" t="str">
        <f t="shared" si="107"/>
        <v>非应届生</v>
      </c>
      <c r="J184" s="2" t="str">
        <f>"初级会计师"</f>
        <v>初级会计师</v>
      </c>
      <c r="K184" s="2" t="str">
        <f>"2016.6"</f>
        <v>2016.6</v>
      </c>
      <c r="L184" s="2" t="str">
        <f t="shared" si="108"/>
        <v>学士</v>
      </c>
      <c r="M184" s="2" t="str">
        <f>"淮海工学院"</f>
        <v>淮海工学院</v>
      </c>
      <c r="N184" s="2" t="str">
        <f t="shared" si="109"/>
        <v>法学</v>
      </c>
      <c r="O184" s="2" t="str">
        <f t="shared" si="110"/>
        <v>本科</v>
      </c>
      <c r="P184" s="2" t="str">
        <f>"164"</f>
        <v>164</v>
      </c>
      <c r="Q184" s="2" t="str">
        <f>"敏梅保险代理有限公司南通分公司"</f>
        <v>敏梅保险代理有限公司南通分公司</v>
      </c>
      <c r="R184" s="2" t="str">
        <f>"2016.10"</f>
        <v>2016.10</v>
      </c>
      <c r="S184" s="2" t="str">
        <f>"江苏省如皋市郭园镇"</f>
        <v>江苏省如皋市郭园镇</v>
      </c>
      <c r="T184" s="2" t="str">
        <f>"226542"</f>
        <v>226542</v>
      </c>
      <c r="U184" s="2" t="str">
        <f>"87682421"</f>
        <v>87682421</v>
      </c>
      <c r="V184" s="2" t="str">
        <f>"19825468816"</f>
        <v>19825468816</v>
      </c>
      <c r="W184" s="2" t="str">
        <f>"二级乙等"</f>
        <v>二级乙等</v>
      </c>
      <c r="X184" s="2" t="str">
        <f t="shared" si="93"/>
        <v>否</v>
      </c>
      <c r="Y184" s="2" t="str">
        <f>"英语六级"</f>
        <v>英语六级</v>
      </c>
      <c r="Z184" s="2" t="str">
        <f>"熟练"</f>
        <v>熟练</v>
      </c>
      <c r="AA184" s="2" t="str">
        <f>"父女|于国军||母女|席德娥|||||||"</f>
        <v>父女|于国军||母女|席德娥|||||||</v>
      </c>
      <c r="AB184" s="2" t="str">
        <f>"2009.9-2012.6  石庄高级中学_x000D_
2012.9-2016.6  淮海工学院_x000D_
2016.10-2018.2  苏州万鸿房地产开发有限公司"</f>
        <v>2009.9-2012.6  石庄高级中学_x000D_
2012.9-2016.6  淮海工学院_x000D_
2016.10-2018.2  苏州万鸿房地产开发有限公司</v>
      </c>
      <c r="AC184" s="2" t="str">
        <f t="shared" si="111"/>
        <v>无</v>
      </c>
      <c r="AD184" s="2" t="str">
        <f>""</f>
        <v/>
      </c>
      <c r="AE184" s="4">
        <v>43433.43990740741</v>
      </c>
      <c r="AF184" s="2">
        <v>1</v>
      </c>
      <c r="AG184" s="2">
        <v>1</v>
      </c>
      <c r="AH184" s="2">
        <v>2</v>
      </c>
      <c r="AI184" s="2" t="str">
        <f>"18002014929"</f>
        <v>18002014929</v>
      </c>
      <c r="AJ184" s="2">
        <v>49</v>
      </c>
      <c r="AK184" s="2">
        <v>29</v>
      </c>
      <c r="AL184" s="2" t="s">
        <v>119</v>
      </c>
      <c r="AM184" s="2" t="s">
        <v>120</v>
      </c>
      <c r="AN184" s="2">
        <v>1</v>
      </c>
      <c r="AO184" s="2">
        <v>8169</v>
      </c>
      <c r="AP184" s="2" t="s">
        <v>205</v>
      </c>
      <c r="AQ184" s="2"/>
      <c r="AR184" s="2" t="s">
        <v>330</v>
      </c>
      <c r="AS184" s="3" t="s">
        <v>331</v>
      </c>
      <c r="AT184" s="2" t="s">
        <v>117</v>
      </c>
      <c r="AU184" s="2" t="s">
        <v>117</v>
      </c>
      <c r="AV184" s="7">
        <v>69.099999999999994</v>
      </c>
      <c r="AW184" s="2">
        <v>2</v>
      </c>
      <c r="AX184" s="2"/>
      <c r="AY184" s="2"/>
    </row>
    <row r="185" spans="1:51" ht="18.75" customHeight="1">
      <c r="A185" t="str">
        <f>"1002201811281518584937"</f>
        <v>1002201811281518584937</v>
      </c>
      <c r="B185" s="9">
        <v>183</v>
      </c>
      <c r="C185" s="2" t="s">
        <v>202</v>
      </c>
      <c r="D185" s="2" t="str">
        <f>"郑素娟"</f>
        <v>郑素娟</v>
      </c>
      <c r="E185" s="2" t="str">
        <f t="shared" si="106"/>
        <v>女</v>
      </c>
      <c r="F185" s="2" t="str">
        <f>"1987-04-02"</f>
        <v>1987-04-02</v>
      </c>
      <c r="G185" s="2" t="str">
        <f>"320482198704020606"</f>
        <v>320482198704020606</v>
      </c>
      <c r="H185" s="2" t="str">
        <f>"江苏省常州市金坛区"</f>
        <v>江苏省常州市金坛区</v>
      </c>
      <c r="I185" s="2" t="str">
        <f t="shared" si="107"/>
        <v>非应届生</v>
      </c>
      <c r="J185" s="2" t="str">
        <f>"无"</f>
        <v>无</v>
      </c>
      <c r="K185" s="2" t="str">
        <f>"2011.7"</f>
        <v>2011.7</v>
      </c>
      <c r="L185" s="2" t="str">
        <f t="shared" si="108"/>
        <v>学士</v>
      </c>
      <c r="M185" s="2" t="str">
        <f>"江南大学"</f>
        <v>江南大学</v>
      </c>
      <c r="N185" s="2" t="str">
        <f t="shared" si="109"/>
        <v>法学</v>
      </c>
      <c r="O185" s="2" t="str">
        <f t="shared" si="110"/>
        <v>本科</v>
      </c>
      <c r="P185" s="2" t="str">
        <f>"164"</f>
        <v>164</v>
      </c>
      <c r="Q185" s="2" t="str">
        <f>"常州市金坛区人力资源服务有限公司"</f>
        <v>常州市金坛区人力资源服务有限公司</v>
      </c>
      <c r="R185" s="2" t="str">
        <f>"2008.10"</f>
        <v>2008.10</v>
      </c>
      <c r="S185" s="2" t="str">
        <f>"江苏省常州市金坛区碧水华庭35栋甲单元101室"</f>
        <v>江苏省常州市金坛区碧水华庭35栋甲单元101室</v>
      </c>
      <c r="T185" s="2" t="str">
        <f>"213200"</f>
        <v>213200</v>
      </c>
      <c r="U185" s="2" t="str">
        <f>"82889592"</f>
        <v>82889592</v>
      </c>
      <c r="V185" s="2" t="str">
        <f>"18661191987"</f>
        <v>18661191987</v>
      </c>
      <c r="W185" s="2" t="str">
        <f>"二级乙等"</f>
        <v>二级乙等</v>
      </c>
      <c r="X185" s="2" t="str">
        <f t="shared" si="93"/>
        <v>否</v>
      </c>
      <c r="Y185" s="2" t="str">
        <f>"成人学士学位英语"</f>
        <v>成人学士学位英语</v>
      </c>
      <c r="Z185" s="2" t="str">
        <f>"全国计算机一级B"</f>
        <v>全国计算机一级B</v>
      </c>
      <c r="AA185" s="2" t="str">
        <f>"配偶|崔云飞|北京大正恒立建设工程有限责任公司|||||||||"</f>
        <v>配偶|崔云飞|北京大正恒立建设工程有限责任公司|||||||||</v>
      </c>
      <c r="AB185" s="2" t="str">
        <f>"高中：2002年9月—2005年7月，金坛市第一中学。_x000D_
大专：2005年9月—2008年6月，昆山登云科技职业学院，数控技术。_x000D_
本科：2009年3月—2011年7月，江南大学网络教育学院，法学。  _x000D_
2008年12月至2009年6月，金坛市精诚动力工程有限公司，CAD制图员。 _x000D_
2009年8月至2012年3月，江苏润澳花园大酒店，前厅部领班。 _x000D_
2012年3月至今，常州市金坛区人力资源服务有限公司，办事员。_x000D_
"</f>
        <v xml:space="preserve">高中：2002年9月—2005年7月，金坛市第一中学。_x000D_
大专：2005年9月—2008年6月，昆山登云科技职业学院，数控技术。_x000D_
本科：2009年3月—2011年7月，江南大学网络教育学院，法学。  _x000D_
2008年12月至2009年6月，金坛市精诚动力工程有限公司，CAD制图员。 _x000D_
2009年8月至2012年3月，江苏润澳花园大酒店，前厅部领班。 _x000D_
2012年3月至今，常州市金坛区人力资源服务有限公司，办事员。_x000D_
</v>
      </c>
      <c r="AC185" s="2" t="str">
        <f t="shared" si="111"/>
        <v>无</v>
      </c>
      <c r="AD185" s="2" t="str">
        <f>""</f>
        <v/>
      </c>
      <c r="AE185" s="4">
        <v>43432.715960648151</v>
      </c>
      <c r="AF185" s="2">
        <v>1</v>
      </c>
      <c r="AG185" s="2">
        <v>1</v>
      </c>
      <c r="AH185" s="2">
        <v>2</v>
      </c>
      <c r="AI185" s="2" t="str">
        <f>"18002014825"</f>
        <v>18002014825</v>
      </c>
      <c r="AJ185" s="2">
        <v>48</v>
      </c>
      <c r="AK185" s="2">
        <v>25</v>
      </c>
      <c r="AL185" s="2" t="s">
        <v>119</v>
      </c>
      <c r="AM185" s="2" t="s">
        <v>120</v>
      </c>
      <c r="AN185" s="2">
        <v>1</v>
      </c>
      <c r="AO185" s="2">
        <v>3224</v>
      </c>
      <c r="AP185" s="2" t="s">
        <v>203</v>
      </c>
      <c r="AQ185" s="2"/>
      <c r="AR185" s="2" t="s">
        <v>330</v>
      </c>
      <c r="AS185" s="3" t="s">
        <v>331</v>
      </c>
      <c r="AT185" s="2" t="s">
        <v>117</v>
      </c>
      <c r="AU185" s="2" t="s">
        <v>117</v>
      </c>
      <c r="AV185" s="7">
        <v>68.95</v>
      </c>
      <c r="AW185" s="2">
        <v>3</v>
      </c>
      <c r="AX185" s="2"/>
      <c r="AY185" s="2"/>
    </row>
    <row r="186" spans="1:51" ht="18.75" customHeight="1">
      <c r="A186" t="str">
        <f>"1002201811292132516432"</f>
        <v>1002201811292132516432</v>
      </c>
      <c r="B186" s="9">
        <v>184</v>
      </c>
      <c r="C186" s="2" t="s">
        <v>206</v>
      </c>
      <c r="D186" s="2" t="str">
        <f>"阮禹堃"</f>
        <v>阮禹堃</v>
      </c>
      <c r="E186" s="2" t="str">
        <f>"男"</f>
        <v>男</v>
      </c>
      <c r="F186" s="2" t="str">
        <f>"1992-12-01"</f>
        <v>1992-12-01</v>
      </c>
      <c r="G186" s="2" t="str">
        <f>"350322199212011058"</f>
        <v>350322199212011058</v>
      </c>
      <c r="H186" s="2" t="str">
        <f>"福建省莆田市"</f>
        <v>福建省莆田市</v>
      </c>
      <c r="I186" s="2" t="str">
        <f t="shared" si="107"/>
        <v>非应届生</v>
      </c>
      <c r="J186" s="2" t="str">
        <f t="shared" ref="J186" si="112">"无"</f>
        <v>无</v>
      </c>
      <c r="K186" s="2" t="str">
        <f>"2015.06"</f>
        <v>2015.06</v>
      </c>
      <c r="L186" s="2" t="str">
        <f t="shared" si="108"/>
        <v>学士</v>
      </c>
      <c r="M186" s="2" t="str">
        <f>"厦门大学嘉庚学院"</f>
        <v>厦门大学嘉庚学院</v>
      </c>
      <c r="N186" s="2" t="str">
        <f>"金融学"</f>
        <v>金融学</v>
      </c>
      <c r="O186" s="2" t="str">
        <f t="shared" si="110"/>
        <v>本科</v>
      </c>
      <c r="P186" s="2" t="str">
        <f>"174"</f>
        <v>174</v>
      </c>
      <c r="Q186" s="2" t="str">
        <f>"阜宁县明月金属材料加工有限公司益林镇加油站"</f>
        <v>阜宁县明月金属材料加工有限公司益林镇加油站</v>
      </c>
      <c r="R186" s="2" t="str">
        <f>"2015.07"</f>
        <v>2015.07</v>
      </c>
      <c r="S186" s="2" t="str">
        <f>"阜宁县长春路与射河南路交叉口苏油石化新宁加油站"</f>
        <v>阜宁县长春路与射河南路交叉口苏油石化新宁加油站</v>
      </c>
      <c r="T186" s="2" t="str">
        <f>"224400"</f>
        <v>224400</v>
      </c>
      <c r="U186" s="2" t="str">
        <f>"0515-87283666"</f>
        <v>0515-87283666</v>
      </c>
      <c r="V186" s="2" t="str">
        <f>"18359601589"</f>
        <v>18359601589</v>
      </c>
      <c r="W186" s="2" t="str">
        <f t="shared" ref="W186:W192" si="113">"无"</f>
        <v>无</v>
      </c>
      <c r="X186" s="2" t="str">
        <f t="shared" si="93"/>
        <v>否</v>
      </c>
      <c r="Y186" s="2" t="str">
        <f>"CET-4"</f>
        <v>CET-4</v>
      </c>
      <c r="Z186" s="2" t="str">
        <f>"无"</f>
        <v>无</v>
      </c>
      <c r="AA186" s="2" t="str">
        <f>"父亲|阮舜强|务农|母亲|周丽群|务农||||||"</f>
        <v>父亲|阮舜强|务农|母亲|周丽群|务农||||||</v>
      </c>
      <c r="AB186" s="2" t="str">
        <f>"2008.09-2011.06 仙游县第一中学 学生_x000D_
2011.09-2015.06 厦门大学嘉庚学院金融学专业 学生_x000D_
2015.07-至今 阜宁县明月金属材料加工有限公司益林镇加油站 副站长_x000D_
"</f>
        <v xml:space="preserve">2008.09-2011.06 仙游县第一中学 学生_x000D_
2011.09-2015.06 厦门大学嘉庚学院金融学专业 学生_x000D_
2015.07-至今 阜宁县明月金属材料加工有限公司益林镇加油站 副站长_x000D_
</v>
      </c>
      <c r="AC186" s="2" t="str">
        <f t="shared" si="111"/>
        <v>无</v>
      </c>
      <c r="AD186" s="2" t="str">
        <f>""</f>
        <v/>
      </c>
      <c r="AE186" s="4">
        <v>43434.442407407405</v>
      </c>
      <c r="AF186" s="2">
        <v>1</v>
      </c>
      <c r="AG186" s="2">
        <v>1</v>
      </c>
      <c r="AH186" s="2">
        <v>1</v>
      </c>
      <c r="AI186" s="2" t="str">
        <f>"18002015321"</f>
        <v>18002015321</v>
      </c>
      <c r="AJ186" s="2">
        <v>53</v>
      </c>
      <c r="AK186" s="2">
        <v>21</v>
      </c>
      <c r="AL186" s="2" t="s">
        <v>119</v>
      </c>
      <c r="AM186" s="2" t="s">
        <v>120</v>
      </c>
      <c r="AN186" s="2">
        <v>1</v>
      </c>
      <c r="AO186" s="2">
        <v>7807</v>
      </c>
      <c r="AP186" s="2" t="s">
        <v>210</v>
      </c>
      <c r="AQ186" s="2"/>
      <c r="AR186" s="2" t="s">
        <v>330</v>
      </c>
      <c r="AS186" s="3" t="s">
        <v>331</v>
      </c>
      <c r="AT186" s="2" t="s">
        <v>117</v>
      </c>
      <c r="AU186" s="2" t="s">
        <v>117</v>
      </c>
      <c r="AV186" s="7">
        <v>75.3</v>
      </c>
      <c r="AW186" s="2">
        <v>1</v>
      </c>
      <c r="AX186" s="2"/>
      <c r="AY186" s="2"/>
    </row>
    <row r="187" spans="1:51" ht="18.75" customHeight="1">
      <c r="A187" t="str">
        <f>"1002201811262023562774"</f>
        <v>1002201811262023562774</v>
      </c>
      <c r="B187" s="9">
        <v>185</v>
      </c>
      <c r="C187" s="2" t="s">
        <v>206</v>
      </c>
      <c r="D187" s="2" t="str">
        <f>"张科敏"</f>
        <v>张科敏</v>
      </c>
      <c r="E187" s="2" t="str">
        <f>"女"</f>
        <v>女</v>
      </c>
      <c r="F187" s="2" t="str">
        <f>"1995-05-09"</f>
        <v>1995-05-09</v>
      </c>
      <c r="G187" s="2" t="str">
        <f>"320682199505098465"</f>
        <v>320682199505098465</v>
      </c>
      <c r="H187" s="2" t="str">
        <f>"江苏如皋"</f>
        <v>江苏如皋</v>
      </c>
      <c r="I187" s="2" t="str">
        <f t="shared" si="107"/>
        <v>非应届生</v>
      </c>
      <c r="J187" s="2" t="str">
        <f>"会计从业资格证"</f>
        <v>会计从业资格证</v>
      </c>
      <c r="K187" s="2" t="str">
        <f>"2017.06"</f>
        <v>2017.06</v>
      </c>
      <c r="L187" s="2" t="str">
        <f t="shared" si="108"/>
        <v>学士</v>
      </c>
      <c r="M187" s="2" t="str">
        <f>"南京信息工程大学滨江学院"</f>
        <v>南京信息工程大学滨江学院</v>
      </c>
      <c r="N187" s="2" t="str">
        <f>"国际经济与贸易"</f>
        <v>国际经济与贸易</v>
      </c>
      <c r="O187" s="2" t="str">
        <f t="shared" si="110"/>
        <v>本科</v>
      </c>
      <c r="P187" s="2" t="str">
        <f>"163"</f>
        <v>163</v>
      </c>
      <c r="Q187" s="2" t="str">
        <f>"德源（中国）高科有限公司"</f>
        <v>德源（中国）高科有限公司</v>
      </c>
      <c r="R187" s="2" t="str">
        <f>"2018.06"</f>
        <v>2018.06</v>
      </c>
      <c r="S187" s="2" t="str">
        <f>"如皋市如城镇益寿北路88号福猫健康板材"</f>
        <v>如皋市如城镇益寿北路88号福猫健康板材</v>
      </c>
      <c r="T187" s="2" t="str">
        <f>"226500"</f>
        <v>226500</v>
      </c>
      <c r="U187" s="2" t="str">
        <f>"0513-87307558"</f>
        <v>0513-87307558</v>
      </c>
      <c r="V187" s="2" t="str">
        <f>"15190891527"</f>
        <v>15190891527</v>
      </c>
      <c r="W187" s="2" t="str">
        <f t="shared" si="113"/>
        <v>无</v>
      </c>
      <c r="X187" s="2" t="str">
        <f t="shared" si="93"/>
        <v>否</v>
      </c>
      <c r="Y187" s="2" t="str">
        <f>"CET-6"</f>
        <v>CET-6</v>
      </c>
      <c r="Z187" s="2" t="str">
        <f>"全国计算机一级"</f>
        <v>全国计算机一级</v>
      </c>
      <c r="AA187" s="2" t="str">
        <f>"父女|张修建|个体户|母女|章玉兰|个体户||||||"</f>
        <v>父女|张修建|个体户|母女|章玉兰|个体户||||||</v>
      </c>
      <c r="AB187" s="2" t="str">
        <f>"2010.09-2013.06 如皋市第二中学 学生_x000D_
2013.09-2017.06 南京信息工程大学滨江学院国际经与贸易专业 学生_x000D_
2018.06至今 德源（中国）高科有限公司 职员 "</f>
        <v xml:space="preserve">2010.09-2013.06 如皋市第二中学 学生_x000D_
2013.09-2017.06 南京信息工程大学滨江学院国际经与贸易专业 学生_x000D_
2018.06至今 德源（中国）高科有限公司 职员 </v>
      </c>
      <c r="AC187" s="2" t="str">
        <f t="shared" si="111"/>
        <v>无</v>
      </c>
      <c r="AD187" s="2" t="str">
        <f>""</f>
        <v/>
      </c>
      <c r="AE187" s="4">
        <v>43431.726307870369</v>
      </c>
      <c r="AF187" s="2">
        <v>1</v>
      </c>
      <c r="AG187" s="2">
        <v>1</v>
      </c>
      <c r="AH187" s="2">
        <v>4</v>
      </c>
      <c r="AI187" s="2" t="str">
        <f>"18002015105"</f>
        <v>18002015105</v>
      </c>
      <c r="AJ187" s="2">
        <v>51</v>
      </c>
      <c r="AK187" s="2">
        <v>5</v>
      </c>
      <c r="AL187" s="2" t="s">
        <v>119</v>
      </c>
      <c r="AM187" s="2" t="s">
        <v>120</v>
      </c>
      <c r="AN187" s="2">
        <v>1</v>
      </c>
      <c r="AO187" s="2">
        <v>1144</v>
      </c>
      <c r="AP187" s="2" t="s">
        <v>207</v>
      </c>
      <c r="AQ187" s="2"/>
      <c r="AR187" s="2" t="s">
        <v>330</v>
      </c>
      <c r="AS187" s="3" t="s">
        <v>331</v>
      </c>
      <c r="AT187" s="2" t="s">
        <v>117</v>
      </c>
      <c r="AU187" s="2" t="s">
        <v>117</v>
      </c>
      <c r="AV187" s="7">
        <v>73.099999999999994</v>
      </c>
      <c r="AW187" s="2">
        <v>2</v>
      </c>
      <c r="AX187" s="2"/>
      <c r="AY187" s="2"/>
    </row>
    <row r="188" spans="1:51" ht="18.75" customHeight="1">
      <c r="A188" t="str">
        <f>"1002201811261557132151"</f>
        <v>1002201811261557132151</v>
      </c>
      <c r="B188" s="9">
        <v>186</v>
      </c>
      <c r="C188" s="2" t="s">
        <v>206</v>
      </c>
      <c r="D188" s="2" t="str">
        <f>"管岳"</f>
        <v>管岳</v>
      </c>
      <c r="E188" s="2" t="str">
        <f>"男"</f>
        <v>男</v>
      </c>
      <c r="F188" s="2" t="str">
        <f>"1993-06-18"</f>
        <v>1993-06-18</v>
      </c>
      <c r="G188" s="2" t="str">
        <f>"320482199306187317"</f>
        <v>320482199306187317</v>
      </c>
      <c r="H188" s="2" t="str">
        <f>"江苏省常州市金坛区"</f>
        <v>江苏省常州市金坛区</v>
      </c>
      <c r="I188" s="2" t="str">
        <f t="shared" si="107"/>
        <v>非应届生</v>
      </c>
      <c r="J188" s="2" t="str">
        <f>"无"</f>
        <v>无</v>
      </c>
      <c r="K188" s="2" t="str">
        <f>"2015.06"</f>
        <v>2015.06</v>
      </c>
      <c r="L188" s="2" t="str">
        <f t="shared" si="108"/>
        <v>学士</v>
      </c>
      <c r="M188" s="2" t="str">
        <f>"扬州大学广陵学院"</f>
        <v>扬州大学广陵学院</v>
      </c>
      <c r="N188" s="2" t="str">
        <f>"国际经济与贸易"</f>
        <v>国际经济与贸易</v>
      </c>
      <c r="O188" s="2" t="str">
        <f t="shared" si="110"/>
        <v>本科</v>
      </c>
      <c r="P188" s="2" t="str">
        <f>"172"</f>
        <v>172</v>
      </c>
      <c r="Q188" s="2" t="str">
        <f>"无"</f>
        <v>无</v>
      </c>
      <c r="R188" s="2" t="str">
        <f>"2015.09"</f>
        <v>2015.09</v>
      </c>
      <c r="S188" s="2" t="str">
        <f>"江苏省常州市金坛区市场路25-201"</f>
        <v>江苏省常州市金坛区市场路25-201</v>
      </c>
      <c r="T188" s="2" t="str">
        <f>"213200"</f>
        <v>213200</v>
      </c>
      <c r="U188" s="2" t="str">
        <f>"无"</f>
        <v>无</v>
      </c>
      <c r="V188" s="2" t="str">
        <f>"15861105213"</f>
        <v>15861105213</v>
      </c>
      <c r="W188" s="2" t="str">
        <f t="shared" si="113"/>
        <v>无</v>
      </c>
      <c r="X188" s="2" t="str">
        <f>"是"</f>
        <v>是</v>
      </c>
      <c r="Y188" s="2" t="str">
        <f>"一般"</f>
        <v>一般</v>
      </c>
      <c r="Z188" s="2" t="str">
        <f>"一般"</f>
        <v>一般</v>
      </c>
      <c r="AA188" s="2" t="str">
        <f>"父亲|管伟国|江苏汉勒斯科技有限公司|母亲|周琼|个体||||||"</f>
        <v>父亲|管伟国|江苏汉勒斯科技有限公司|母亲|周琼|个体||||||</v>
      </c>
      <c r="AB188" s="2" t="str">
        <f>"2008.09-2011.06 常州市金坛区第一中学 学生_x000D_
2011.09-2015.06 扬州大学广陵学院 学生_x000D_
2015.09-2016.02 常州恐龙园股份有限公司 职员_x000D_
2016.07-2017.12 江苏盐道物流股份有限公司 职员"</f>
        <v>2008.09-2011.06 常州市金坛区第一中学 学生_x000D_
2011.09-2015.06 扬州大学广陵学院 学生_x000D_
2015.09-2016.02 常州恐龙园股份有限公司 职员_x000D_
2016.07-2017.12 江苏盐道物流股份有限公司 职员</v>
      </c>
      <c r="AC188" s="2" t="str">
        <f t="shared" si="111"/>
        <v>无</v>
      </c>
      <c r="AD188" s="2" t="str">
        <f>""</f>
        <v/>
      </c>
      <c r="AE188" s="4">
        <v>43433.412604166668</v>
      </c>
      <c r="AF188" s="2">
        <v>1</v>
      </c>
      <c r="AG188" s="2">
        <v>1</v>
      </c>
      <c r="AH188" s="2">
        <v>3</v>
      </c>
      <c r="AI188" s="2" t="str">
        <f>"18002015120"</f>
        <v>18002015120</v>
      </c>
      <c r="AJ188" s="2">
        <v>51</v>
      </c>
      <c r="AK188" s="2">
        <v>20</v>
      </c>
      <c r="AL188" s="2" t="s">
        <v>119</v>
      </c>
      <c r="AM188" s="2" t="s">
        <v>120</v>
      </c>
      <c r="AN188" s="2">
        <v>1</v>
      </c>
      <c r="AO188" s="2">
        <v>1925</v>
      </c>
      <c r="AP188" s="2" t="s">
        <v>208</v>
      </c>
      <c r="AQ188" s="2"/>
      <c r="AR188" s="2" t="s">
        <v>330</v>
      </c>
      <c r="AS188" s="3" t="s">
        <v>331</v>
      </c>
      <c r="AT188" s="2" t="s">
        <v>117</v>
      </c>
      <c r="AU188" s="2" t="s">
        <v>117</v>
      </c>
      <c r="AV188" s="7">
        <v>72.05</v>
      </c>
      <c r="AW188" s="2">
        <v>3</v>
      </c>
      <c r="AX188" s="2"/>
      <c r="AY188" s="2"/>
    </row>
    <row r="189" spans="1:51" ht="18.75" customHeight="1">
      <c r="A189" t="str">
        <f>"1002201811270756303113"</f>
        <v>1002201811270756303113</v>
      </c>
      <c r="B189" s="9">
        <v>187</v>
      </c>
      <c r="C189" s="2" t="s">
        <v>211</v>
      </c>
      <c r="D189" s="2" t="str">
        <f>"张哲媛"</f>
        <v>张哲媛</v>
      </c>
      <c r="E189" s="2" t="str">
        <f>"女"</f>
        <v>女</v>
      </c>
      <c r="F189" s="2" t="str">
        <f>"1993-10-08"</f>
        <v>1993-10-08</v>
      </c>
      <c r="G189" s="2" t="str">
        <f>"320602199310082525"</f>
        <v>320602199310082525</v>
      </c>
      <c r="H189" s="2" t="str">
        <f>"江苏南通"</f>
        <v>江苏南通</v>
      </c>
      <c r="I189" s="2" t="str">
        <f t="shared" si="107"/>
        <v>非应届生</v>
      </c>
      <c r="J189" s="2" t="str">
        <f t="shared" ref="J189:J194" si="114">"无"</f>
        <v>无</v>
      </c>
      <c r="K189" s="2" t="str">
        <f>"2016.06"</f>
        <v>2016.06</v>
      </c>
      <c r="L189" s="2" t="str">
        <f t="shared" si="108"/>
        <v>学士</v>
      </c>
      <c r="M189" s="2" t="str">
        <f>"苏州大学"</f>
        <v>苏州大学</v>
      </c>
      <c r="N189" s="2" t="str">
        <f>"劳动与社会保障"</f>
        <v>劳动与社会保障</v>
      </c>
      <c r="O189" s="2" t="str">
        <f t="shared" si="110"/>
        <v>本科</v>
      </c>
      <c r="P189" s="2" t="str">
        <f>"153"</f>
        <v>153</v>
      </c>
      <c r="Q189" s="2" t="str">
        <f>"南通市崇川区钟秀街道校西村社区居委会"</f>
        <v>南通市崇川区钟秀街道校西村社区居委会</v>
      </c>
      <c r="R189" s="2" t="str">
        <f>"2016.09"</f>
        <v>2016.09</v>
      </c>
      <c r="S189" s="2" t="str">
        <f>"南通市港闸区和颐都市绿洲7幢401室"</f>
        <v>南通市港闸区和颐都市绿洲7幢401室</v>
      </c>
      <c r="T189" s="2" t="str">
        <f>"226002"</f>
        <v>226002</v>
      </c>
      <c r="U189" s="2" t="str">
        <f>"无"</f>
        <v>无</v>
      </c>
      <c r="V189" s="2" t="str">
        <f>"13515215023"</f>
        <v>13515215023</v>
      </c>
      <c r="W189" s="2" t="str">
        <f t="shared" si="113"/>
        <v>无</v>
      </c>
      <c r="X189" s="2" t="str">
        <f t="shared" ref="X189:X196" si="115">"否"</f>
        <v>否</v>
      </c>
      <c r="Y189" s="2" t="str">
        <f>"大学英语六级"</f>
        <v>大学英语六级</v>
      </c>
      <c r="Z189" s="2" t="str">
        <f>"全国计算机一级优秀"</f>
        <v>全国计算机一级优秀</v>
      </c>
      <c r="AA189" s="2" t="str">
        <f>"父亲|张岳俊|南通中等专业学校|母亲|王美云|南通市第二初级中学||||||"</f>
        <v>父亲|张岳俊|南通中等专业学校|母亲|王美云|南通市第二初级中学||||||</v>
      </c>
      <c r="AB189" s="2" t="str">
        <f>"2009.09-2012.06 南通中学 学生_x000D_
2012.09-2016.06 苏州大学社会学院劳动与社会保障专业 学生_x000D_
2016.09至今  南通市崇川区钟秀街道校西村社区居委会 社区干部"</f>
        <v>2009.09-2012.06 南通中学 学生_x000D_
2012.09-2016.06 苏州大学社会学院劳动与社会保障专业 学生_x000D_
2016.09至今  南通市崇川区钟秀街道校西村社区居委会 社区干部</v>
      </c>
      <c r="AC189" s="2" t="str">
        <f t="shared" si="111"/>
        <v>无</v>
      </c>
      <c r="AD189" s="2" t="str">
        <f>""</f>
        <v/>
      </c>
      <c r="AE189" s="4">
        <v>43431.702372685184</v>
      </c>
      <c r="AF189" s="2">
        <v>1</v>
      </c>
      <c r="AG189" s="2">
        <v>1</v>
      </c>
      <c r="AH189" s="2">
        <v>1</v>
      </c>
      <c r="AI189" s="2" t="str">
        <f>"18002015419"</f>
        <v>18002015419</v>
      </c>
      <c r="AJ189" s="2">
        <v>54</v>
      </c>
      <c r="AK189" s="2">
        <v>19</v>
      </c>
      <c r="AL189" s="2" t="s">
        <v>119</v>
      </c>
      <c r="AM189" s="2" t="s">
        <v>120</v>
      </c>
      <c r="AN189" s="2">
        <v>1</v>
      </c>
      <c r="AO189" s="2">
        <v>584</v>
      </c>
      <c r="AP189" s="2" t="s">
        <v>54</v>
      </c>
      <c r="AQ189" s="2"/>
      <c r="AR189" s="2" t="s">
        <v>330</v>
      </c>
      <c r="AS189" s="3" t="s">
        <v>331</v>
      </c>
      <c r="AT189" s="2" t="s">
        <v>117</v>
      </c>
      <c r="AU189" s="2" t="s">
        <v>117</v>
      </c>
      <c r="AV189" s="7">
        <v>77.099999999999994</v>
      </c>
      <c r="AW189" s="2">
        <v>1</v>
      </c>
      <c r="AX189" s="2"/>
      <c r="AY189" s="2"/>
    </row>
    <row r="190" spans="1:51" ht="18.75" customHeight="1">
      <c r="A190" t="str">
        <f>"1002201811292224586507"</f>
        <v>1002201811292224586507</v>
      </c>
      <c r="B190" s="9">
        <v>188</v>
      </c>
      <c r="C190" s="2" t="s">
        <v>211</v>
      </c>
      <c r="D190" s="2" t="str">
        <f>"丁广晖"</f>
        <v>丁广晖</v>
      </c>
      <c r="E190" s="2" t="str">
        <f>"男"</f>
        <v>男</v>
      </c>
      <c r="F190" s="2" t="str">
        <f>"1993-12-10"</f>
        <v>1993-12-10</v>
      </c>
      <c r="G190" s="2" t="str">
        <f>"32068219931210729X"</f>
        <v>32068219931210729X</v>
      </c>
      <c r="H190" s="2" t="str">
        <f>"如皋"</f>
        <v>如皋</v>
      </c>
      <c r="I190" s="2" t="str">
        <f t="shared" si="107"/>
        <v>非应届生</v>
      </c>
      <c r="J190" s="2" t="str">
        <f t="shared" si="114"/>
        <v>无</v>
      </c>
      <c r="K190" s="2" t="str">
        <f>"2016.06"</f>
        <v>2016.06</v>
      </c>
      <c r="L190" s="2" t="str">
        <f t="shared" si="108"/>
        <v>学士</v>
      </c>
      <c r="M190" s="2" t="str">
        <f>"南京信息工程大学滨江学院"</f>
        <v>南京信息工程大学滨江学院</v>
      </c>
      <c r="N190" s="2" t="str">
        <f>"人力资源管理专业"</f>
        <v>人力资源管理专业</v>
      </c>
      <c r="O190" s="2" t="str">
        <f t="shared" si="110"/>
        <v>本科</v>
      </c>
      <c r="P190" s="2" t="str">
        <f>"178"</f>
        <v>178</v>
      </c>
      <c r="Q190" s="2" t="str">
        <f>"如皋市总工会（合同制）"</f>
        <v>如皋市总工会（合同制）</v>
      </c>
      <c r="R190" s="2" t="str">
        <f>"2017,4"</f>
        <v>2017,4</v>
      </c>
      <c r="S190" s="2" t="str">
        <f>"如皋市磨头镇塘湾村1组4号"</f>
        <v>如皋市磨头镇塘湾村1组4号</v>
      </c>
      <c r="T190" s="2" t="str">
        <f>"226500"</f>
        <v>226500</v>
      </c>
      <c r="U190" s="2" t="str">
        <f>"051387705763"</f>
        <v>051387705763</v>
      </c>
      <c r="V190" s="2" t="str">
        <f>"13606275625"</f>
        <v>13606275625</v>
      </c>
      <c r="W190" s="2" t="str">
        <f t="shared" si="113"/>
        <v>无</v>
      </c>
      <c r="X190" s="2" t="str">
        <f t="shared" si="115"/>
        <v>否</v>
      </c>
      <c r="Y190" s="2" t="str">
        <f>"熟练"</f>
        <v>熟练</v>
      </c>
      <c r="Z190" s="2" t="str">
        <f>"全国计算机等级考试一级"</f>
        <v>全国计算机等级考试一级</v>
      </c>
      <c r="AA190" s="2" t="str">
        <f>"父亲|丁佐兵|务农|母亲|张美娟|务农|妻子|朱智颖|如皋市吴窑镇江中小学|||"</f>
        <v>父亲|丁佐兵|务农|母亲|张美娟|务农|妻子|朱智颖|如皋市吴窑镇江中小学|||</v>
      </c>
      <c r="AB190" s="2" t="str">
        <f>"2009.09-2012.06江苏省江安高级中学 学生_x000D_
2012.09-2016.06南京信息工程大学滨江学院人力资源管理专业 学生_x000D_
2017.04-至今如皋市总工会（合同制） 职工"</f>
        <v>2009.09-2012.06江苏省江安高级中学 学生_x000D_
2012.09-2016.06南京信息工程大学滨江学院人力资源管理专业 学生_x000D_
2017.04-至今如皋市总工会（合同制） 职工</v>
      </c>
      <c r="AC190" s="2" t="str">
        <f t="shared" si="111"/>
        <v>无</v>
      </c>
      <c r="AD190" s="2" t="str">
        <f>""</f>
        <v/>
      </c>
      <c r="AE190" s="4">
        <v>43434.456192129626</v>
      </c>
      <c r="AF190" s="2">
        <v>1</v>
      </c>
      <c r="AG190" s="2">
        <v>1</v>
      </c>
      <c r="AH190" s="2">
        <v>1</v>
      </c>
      <c r="AI190" s="2" t="str">
        <f>"18002015605"</f>
        <v>18002015605</v>
      </c>
      <c r="AJ190" s="2">
        <v>56</v>
      </c>
      <c r="AK190" s="2">
        <v>5</v>
      </c>
      <c r="AL190" s="2" t="s">
        <v>119</v>
      </c>
      <c r="AM190" s="2" t="s">
        <v>120</v>
      </c>
      <c r="AN190" s="2">
        <v>1</v>
      </c>
      <c r="AO190" s="2">
        <v>3594</v>
      </c>
      <c r="AP190" s="2" t="s">
        <v>209</v>
      </c>
      <c r="AQ190" s="2"/>
      <c r="AR190" s="2" t="s">
        <v>330</v>
      </c>
      <c r="AS190" s="3" t="s">
        <v>331</v>
      </c>
      <c r="AT190" s="2" t="s">
        <v>117</v>
      </c>
      <c r="AU190" s="2" t="s">
        <v>117</v>
      </c>
      <c r="AV190" s="7">
        <v>73.5</v>
      </c>
      <c r="AW190" s="2">
        <v>2</v>
      </c>
      <c r="AX190" s="2"/>
      <c r="AY190" s="2"/>
    </row>
    <row r="191" spans="1:51" ht="18.75" customHeight="1">
      <c r="A191" t="str">
        <f>"1002201811261109371194"</f>
        <v>1002201811261109371194</v>
      </c>
      <c r="B191" s="9">
        <v>189</v>
      </c>
      <c r="C191" s="2" t="s">
        <v>211</v>
      </c>
      <c r="D191" s="2" t="str">
        <f>"朱建设"</f>
        <v>朱建设</v>
      </c>
      <c r="E191" s="2" t="str">
        <f>"女"</f>
        <v>女</v>
      </c>
      <c r="F191" s="2" t="str">
        <f>"1991-03-18"</f>
        <v>1991-03-18</v>
      </c>
      <c r="G191" s="2" t="str">
        <f>"320683199103188229"</f>
        <v>320683199103188229</v>
      </c>
      <c r="H191" s="2" t="str">
        <f>"南通通州"</f>
        <v>南通通州</v>
      </c>
      <c r="I191" s="2" t="str">
        <f t="shared" si="107"/>
        <v>非应届生</v>
      </c>
      <c r="J191" s="2" t="str">
        <f t="shared" si="114"/>
        <v>无</v>
      </c>
      <c r="K191" s="2" t="str">
        <f>"2013.6"</f>
        <v>2013.6</v>
      </c>
      <c r="L191" s="2" t="str">
        <f t="shared" si="108"/>
        <v>学士</v>
      </c>
      <c r="M191" s="2" t="str">
        <f>"苏州大学"</f>
        <v>苏州大学</v>
      </c>
      <c r="N191" s="2" t="str">
        <f>"劳动与社会保障"</f>
        <v>劳动与社会保障</v>
      </c>
      <c r="O191" s="2" t="str">
        <f t="shared" si="110"/>
        <v>本科</v>
      </c>
      <c r="P191" s="2" t="str">
        <f>"163cm"</f>
        <v>163cm</v>
      </c>
      <c r="Q191" s="2" t="str">
        <f>"南通市通州区金新街道办事处"</f>
        <v>南通市通州区金新街道办事处</v>
      </c>
      <c r="R191" s="2" t="str">
        <f>"2013.7"</f>
        <v>2013.7</v>
      </c>
      <c r="S191" s="2" t="str">
        <f>"南通市通州区世纪大道197号"</f>
        <v>南通市通州区世纪大道197号</v>
      </c>
      <c r="T191" s="2" t="str">
        <f>"226300"</f>
        <v>226300</v>
      </c>
      <c r="U191" s="2" t="str">
        <f>"无"</f>
        <v>无</v>
      </c>
      <c r="V191" s="2" t="str">
        <f>"18936161866"</f>
        <v>18936161866</v>
      </c>
      <c r="W191" s="2" t="str">
        <f t="shared" si="113"/>
        <v>无</v>
      </c>
      <c r="X191" s="2" t="str">
        <f t="shared" si="115"/>
        <v>否</v>
      </c>
      <c r="Y191" s="2" t="str">
        <f>"六级"</f>
        <v>六级</v>
      </c>
      <c r="Z191" s="2" t="str">
        <f>"一级"</f>
        <v>一级</v>
      </c>
      <c r="AA191" s="2" t="str">
        <f>"父亲|朱仲生|农民|母亲|黄丽华|农民||||||"</f>
        <v>父亲|朱仲生|农民|母亲|黄丽华|农民||||||</v>
      </c>
      <c r="AB191" s="2" t="str">
        <f>"2006年9月-2009年7月 江苏省南通市如东县栟茶中学_x000D_
2009年9月-2013年7月 江苏省苏州大学_x000D_
2013年7月1日至今 在江苏省南通市通州区高新区金新街道办事处担任劳动保障协理员"</f>
        <v>2006年9月-2009年7月 江苏省南通市如东县栟茶中学_x000D_
2009年9月-2013年7月 江苏省苏州大学_x000D_
2013年7月1日至今 在江苏省南通市通州区高新区金新街道办事处担任劳动保障协理员</v>
      </c>
      <c r="AC191" s="2" t="str">
        <f t="shared" si="111"/>
        <v>无</v>
      </c>
      <c r="AD191" s="2" t="str">
        <f>""</f>
        <v/>
      </c>
      <c r="AE191" s="4">
        <v>43430.729837962965</v>
      </c>
      <c r="AF191" s="2">
        <v>1</v>
      </c>
      <c r="AG191" s="2">
        <v>1</v>
      </c>
      <c r="AH191" s="2">
        <v>4</v>
      </c>
      <c r="AI191" s="2" t="str">
        <f>"18002015820"</f>
        <v>18002015820</v>
      </c>
      <c r="AJ191" s="2">
        <v>58</v>
      </c>
      <c r="AK191" s="2">
        <v>20</v>
      </c>
      <c r="AL191" s="2" t="s">
        <v>119</v>
      </c>
      <c r="AM191" s="2" t="s">
        <v>120</v>
      </c>
      <c r="AN191" s="2">
        <v>1</v>
      </c>
      <c r="AO191" s="2">
        <v>8354</v>
      </c>
      <c r="AP191" s="2" t="s">
        <v>71</v>
      </c>
      <c r="AQ191" s="2"/>
      <c r="AR191" s="2" t="s">
        <v>330</v>
      </c>
      <c r="AS191" s="3" t="s">
        <v>331</v>
      </c>
      <c r="AT191" s="2" t="s">
        <v>117</v>
      </c>
      <c r="AU191" s="2" t="s">
        <v>117</v>
      </c>
      <c r="AV191" s="7">
        <v>72.650000000000006</v>
      </c>
      <c r="AW191" s="2">
        <v>3</v>
      </c>
      <c r="AX191" s="2"/>
      <c r="AY191" s="2"/>
    </row>
    <row r="192" spans="1:51" ht="18.75" customHeight="1">
      <c r="A192" t="str">
        <f>"1002201811281955515232"</f>
        <v>1002201811281955515232</v>
      </c>
      <c r="B192" s="9">
        <v>190</v>
      </c>
      <c r="C192" s="2" t="s">
        <v>213</v>
      </c>
      <c r="D192" s="2" t="str">
        <f>"娄宇婧"</f>
        <v>娄宇婧</v>
      </c>
      <c r="E192" s="2" t="str">
        <f>"女"</f>
        <v>女</v>
      </c>
      <c r="F192" s="2" t="str">
        <f>"1995-07-21"</f>
        <v>1995-07-21</v>
      </c>
      <c r="G192" s="2" t="str">
        <f>"320682199507211740"</f>
        <v>320682199507211740</v>
      </c>
      <c r="H192" s="2" t="str">
        <f>"江苏如皋"</f>
        <v>江苏如皋</v>
      </c>
      <c r="I192" s="2" t="str">
        <f t="shared" si="107"/>
        <v>非应届生</v>
      </c>
      <c r="J192" s="2" t="str">
        <f t="shared" si="114"/>
        <v>无</v>
      </c>
      <c r="K192" s="2" t="str">
        <f>"2017.06"</f>
        <v>2017.06</v>
      </c>
      <c r="L192" s="2" t="str">
        <f t="shared" si="108"/>
        <v>学士</v>
      </c>
      <c r="M192" s="2" t="str">
        <f>"南京工业大学"</f>
        <v>南京工业大学</v>
      </c>
      <c r="N192" s="2" t="str">
        <f>"工业设计"</f>
        <v>工业设计</v>
      </c>
      <c r="O192" s="2" t="str">
        <f t="shared" si="110"/>
        <v>本科</v>
      </c>
      <c r="P192" s="2" t="str">
        <f>"158"</f>
        <v>158</v>
      </c>
      <c r="Q192" s="2" t="str">
        <f>"如皋市丁堰镇工会"</f>
        <v>如皋市丁堰镇工会</v>
      </c>
      <c r="R192" s="2" t="str">
        <f>"2017.07"</f>
        <v>2017.07</v>
      </c>
      <c r="S192" s="2" t="str">
        <f>"江苏省南通市如皋市丁堰镇鬼头街"</f>
        <v>江苏省南通市如皋市丁堰镇鬼头街</v>
      </c>
      <c r="T192" s="2" t="str">
        <f>"226521"</f>
        <v>226521</v>
      </c>
      <c r="U192" s="2" t="str">
        <f>"0513-88565307"</f>
        <v>0513-88565307</v>
      </c>
      <c r="V192" s="2" t="str">
        <f>"15312921085"</f>
        <v>15312921085</v>
      </c>
      <c r="W192" s="2" t="str">
        <f t="shared" si="113"/>
        <v>无</v>
      </c>
      <c r="X192" s="2" t="str">
        <f t="shared" si="115"/>
        <v>否</v>
      </c>
      <c r="Y192" s="2" t="str">
        <f>"CET6-467"</f>
        <v>CET6-467</v>
      </c>
      <c r="Z192" s="2" t="str">
        <f>"江苏省一级"</f>
        <v>江苏省一级</v>
      </c>
      <c r="AA192" s="2" t="str">
        <f>"父亲|娄进阳|永佳门业|母亲|冒亚兰|丁堰法律服务所||||||"</f>
        <v>父亲|娄进阳|永佳门业|母亲|冒亚兰|丁堰法律服务所||||||</v>
      </c>
      <c r="AB192" s="2" t="str">
        <f>"2010.09-2013.06 江苏省白蒲高级中学 学生_x000D_
2013.09-2017.06 南京工业大学工业与艺术设计学院工业设计专业 学生_x000D_
2017.07-2018.03 南通金钥匙科教设备有限公司 平面设计师_x000D_
2018.09至今 如皋市丁堰镇工会 干事"</f>
        <v>2010.09-2013.06 江苏省白蒲高级中学 学生_x000D_
2013.09-2017.06 南京工业大学工业与艺术设计学院工业设计专业 学生_x000D_
2017.07-2018.03 南通金钥匙科教设备有限公司 平面设计师_x000D_
2018.09至今 如皋市丁堰镇工会 干事</v>
      </c>
      <c r="AC192" s="2" t="str">
        <f>"满足报考条件"</f>
        <v>满足报考条件</v>
      </c>
      <c r="AD192" s="2" t="str">
        <f>""</f>
        <v/>
      </c>
      <c r="AE192" s="4">
        <v>43434.389560185184</v>
      </c>
      <c r="AF192" s="2">
        <v>1</v>
      </c>
      <c r="AG192" s="2">
        <v>1</v>
      </c>
      <c r="AH192" s="2">
        <v>4</v>
      </c>
      <c r="AI192" s="2" t="str">
        <f>"18002016024"</f>
        <v>18002016024</v>
      </c>
      <c r="AJ192" s="2">
        <v>60</v>
      </c>
      <c r="AK192" s="2">
        <v>24</v>
      </c>
      <c r="AL192" s="2" t="s">
        <v>119</v>
      </c>
      <c r="AM192" s="2" t="s">
        <v>120</v>
      </c>
      <c r="AN192" s="2">
        <v>1</v>
      </c>
      <c r="AO192" s="2">
        <v>4619</v>
      </c>
      <c r="AP192" s="2" t="s">
        <v>214</v>
      </c>
      <c r="AQ192" s="2"/>
      <c r="AR192" s="2" t="s">
        <v>330</v>
      </c>
      <c r="AS192" s="3" t="s">
        <v>331</v>
      </c>
      <c r="AT192" s="2" t="s">
        <v>117</v>
      </c>
      <c r="AU192" s="2" t="s">
        <v>117</v>
      </c>
      <c r="AV192" s="7">
        <v>72.099999999999994</v>
      </c>
      <c r="AW192" s="2">
        <v>1</v>
      </c>
      <c r="AX192" s="2"/>
      <c r="AY192" s="2"/>
    </row>
    <row r="193" spans="1:51" ht="18.75" customHeight="1">
      <c r="A193" t="str">
        <f>"1002201811271228433601"</f>
        <v>1002201811271228433601</v>
      </c>
      <c r="B193" s="9">
        <v>191</v>
      </c>
      <c r="C193" s="2" t="s">
        <v>213</v>
      </c>
      <c r="D193" s="2" t="str">
        <f>"王雅岚"</f>
        <v>王雅岚</v>
      </c>
      <c r="E193" s="2" t="str">
        <f>"女"</f>
        <v>女</v>
      </c>
      <c r="F193" s="2" t="str">
        <f>"1994-10-21"</f>
        <v>1994-10-21</v>
      </c>
      <c r="G193" s="2" t="str">
        <f>"370281199410213521"</f>
        <v>370281199410213521</v>
      </c>
      <c r="H193" s="2" t="str">
        <f>"山东省胶州市"</f>
        <v>山东省胶州市</v>
      </c>
      <c r="I193" s="2" t="str">
        <f t="shared" si="107"/>
        <v>非应届生</v>
      </c>
      <c r="J193" s="2" t="str">
        <f t="shared" si="114"/>
        <v>无</v>
      </c>
      <c r="K193" s="2" t="str">
        <f>"2017.6"</f>
        <v>2017.6</v>
      </c>
      <c r="L193" s="2" t="str">
        <f t="shared" si="108"/>
        <v>学士</v>
      </c>
      <c r="M193" s="2" t="str">
        <f>"长春建筑学院"</f>
        <v>长春建筑学院</v>
      </c>
      <c r="N193" s="2" t="str">
        <f>"环境设计"</f>
        <v>环境设计</v>
      </c>
      <c r="O193" s="2" t="str">
        <f t="shared" si="110"/>
        <v>本科</v>
      </c>
      <c r="P193" s="2" t="str">
        <f>"158"</f>
        <v>158</v>
      </c>
      <c r="Q193" s="2" t="str">
        <f>"胶州市人社局"</f>
        <v>胶州市人社局</v>
      </c>
      <c r="R193" s="2" t="str">
        <f>"2018.6"</f>
        <v>2018.6</v>
      </c>
      <c r="S193" s="2" t="str">
        <f>"胶州市常州路人才公寓"</f>
        <v>胶州市常州路人才公寓</v>
      </c>
      <c r="T193" s="2" t="str">
        <f>"266300"</f>
        <v>266300</v>
      </c>
      <c r="U193" s="2" t="str">
        <f>"15764498106"</f>
        <v>15764498106</v>
      </c>
      <c r="V193" s="2" t="str">
        <f>"15725227113"</f>
        <v>15725227113</v>
      </c>
      <c r="W193" s="2" t="str">
        <f>"二级甲等"</f>
        <v>二级甲等</v>
      </c>
      <c r="X193" s="2" t="str">
        <f t="shared" si="115"/>
        <v>否</v>
      </c>
      <c r="Y193" s="2" t="str">
        <f>"熟练"</f>
        <v>熟练</v>
      </c>
      <c r="Z193" s="2" t="str">
        <f>"熟练"</f>
        <v>熟练</v>
      </c>
      <c r="AA193" s="2" t="str">
        <f>"父女|王志灵|胶州市胶莱镇马店工业园拍拖宝贝食品有限公司|母女|姜秀云|胶州市胶北镇雅纳斯制衣有限公司|姐弟|王鹏|无|||"</f>
        <v>父女|王志灵|胶州市胶莱镇马店工业园拍拖宝贝食品有限公司|母女|姜秀云|胶州市胶北镇雅纳斯制衣有限公司|姐弟|王鹏|无|||</v>
      </c>
      <c r="AB193" s="2" t="str">
        <f>"2010.09-2013.06 胶州市第三中学 学生_x000D_
2013.09-2017.06 长春建筑学院   学生_x000D_
2017.07-2018.05   待业_x000D_
2018.06至今 胶州市人社局（青岛市大学生基层服务岗，劳务派遣人员，非在编）"</f>
        <v>2010.09-2013.06 胶州市第三中学 学生_x000D_
2013.09-2017.06 长春建筑学院   学生_x000D_
2017.07-2018.05   待业_x000D_
2018.06至今 胶州市人社局（青岛市大学生基层服务岗，劳务派遣人员，非在编）</v>
      </c>
      <c r="AC193" s="2" t="str">
        <f>"无"</f>
        <v>无</v>
      </c>
      <c r="AD193" s="2" t="str">
        <f>""</f>
        <v/>
      </c>
      <c r="AE193" s="4">
        <v>43431.674826388888</v>
      </c>
      <c r="AF193" s="2">
        <v>1</v>
      </c>
      <c r="AG193" s="2">
        <v>1</v>
      </c>
      <c r="AH193" s="2">
        <v>2</v>
      </c>
      <c r="AI193" s="2" t="str">
        <f>"18002016111"</f>
        <v>18002016111</v>
      </c>
      <c r="AJ193" s="2">
        <v>61</v>
      </c>
      <c r="AK193" s="2">
        <v>11</v>
      </c>
      <c r="AL193" s="2" t="s">
        <v>119</v>
      </c>
      <c r="AM193" s="2" t="s">
        <v>120</v>
      </c>
      <c r="AN193" s="2">
        <v>1</v>
      </c>
      <c r="AO193" s="2">
        <v>7613</v>
      </c>
      <c r="AP193" s="2" t="s">
        <v>215</v>
      </c>
      <c r="AQ193" s="2"/>
      <c r="AR193" s="2" t="s">
        <v>330</v>
      </c>
      <c r="AS193" s="3" t="s">
        <v>331</v>
      </c>
      <c r="AT193" s="2" t="s">
        <v>117</v>
      </c>
      <c r="AU193" s="2" t="s">
        <v>117</v>
      </c>
      <c r="AV193" s="7">
        <v>71.900000000000006</v>
      </c>
      <c r="AW193" s="2">
        <v>2</v>
      </c>
      <c r="AX193" s="2"/>
      <c r="AY193" s="2"/>
    </row>
    <row r="194" spans="1:51" ht="18.75" customHeight="1">
      <c r="A194" t="str">
        <f>"1002201811281053164669"</f>
        <v>1002201811281053164669</v>
      </c>
      <c r="B194" s="9">
        <v>192</v>
      </c>
      <c r="C194" s="2" t="s">
        <v>213</v>
      </c>
      <c r="D194" s="2" t="str">
        <f>"许鹏飞"</f>
        <v>许鹏飞</v>
      </c>
      <c r="E194" s="2" t="str">
        <f>"男"</f>
        <v>男</v>
      </c>
      <c r="F194" s="2" t="str">
        <f>"1992-10-16"</f>
        <v>1992-10-16</v>
      </c>
      <c r="G194" s="2" t="str">
        <f>"320621199210166712"</f>
        <v>320621199210166712</v>
      </c>
      <c r="H194" s="2" t="str">
        <f>"江苏省海安市雅周镇张垛村29组52号"</f>
        <v>江苏省海安市雅周镇张垛村29组52号</v>
      </c>
      <c r="I194" s="2" t="str">
        <f t="shared" si="107"/>
        <v>非应届生</v>
      </c>
      <c r="J194" s="2" t="str">
        <f t="shared" si="114"/>
        <v>无</v>
      </c>
      <c r="K194" s="2" t="str">
        <f>"2014.6"</f>
        <v>2014.6</v>
      </c>
      <c r="L194" s="2" t="str">
        <f t="shared" si="108"/>
        <v>学士</v>
      </c>
      <c r="M194" s="2" t="str">
        <f>"江苏师范大学科文学院"</f>
        <v>江苏师范大学科文学院</v>
      </c>
      <c r="N194" s="2" t="str">
        <f>"工业设计"</f>
        <v>工业设计</v>
      </c>
      <c r="O194" s="2" t="str">
        <f t="shared" si="110"/>
        <v>本科</v>
      </c>
      <c r="P194" s="2" t="str">
        <f>"185"</f>
        <v>185</v>
      </c>
      <c r="Q194" s="2" t="str">
        <f>"海安市水务集团"</f>
        <v>海安市水务集团</v>
      </c>
      <c r="R194" s="2" t="str">
        <f>"2014.8"</f>
        <v>2014.8</v>
      </c>
      <c r="S194" s="2" t="str">
        <f>"江苏省海安市雅周镇张垛村29组52号"</f>
        <v>江苏省海安市雅周镇张垛村29组52号</v>
      </c>
      <c r="T194" s="2" t="str">
        <f>"226600"</f>
        <v>226600</v>
      </c>
      <c r="U194" s="2" t="str">
        <f>"88869661"</f>
        <v>88869661</v>
      </c>
      <c r="V194" s="2" t="str">
        <f>"18551301016"</f>
        <v>18551301016</v>
      </c>
      <c r="W194" s="2" t="str">
        <f>"无"</f>
        <v>无</v>
      </c>
      <c r="X194" s="2" t="str">
        <f t="shared" si="115"/>
        <v>否</v>
      </c>
      <c r="Y194" s="2" t="str">
        <f>"熟练"</f>
        <v>熟练</v>
      </c>
      <c r="Z194" s="2" t="str">
        <f>"熟练"</f>
        <v>熟练</v>
      </c>
      <c r="AA194" s="2" t="str">
        <f>"父亲|许向东|海安市水务集团|母亲|蒋怀宏|海安市张垛幼儿园||||||"</f>
        <v>父亲|许向东|海安市水务集团|母亲|蒋怀宏|海安市张垛幼儿园||||||</v>
      </c>
      <c r="AB194" s="2" t="str">
        <f>"2007.9-2010.6 海安县孙庄中学 学生_x000D_
2010.9-2014.6 江苏师范大学科文学院 学生_x000D_
2014.8至今 海安水务集团 职员"</f>
        <v>2007.9-2010.6 海安县孙庄中学 学生_x000D_
2010.9-2014.6 江苏师范大学科文学院 学生_x000D_
2014.8至今 海安水务集团 职员</v>
      </c>
      <c r="AC194" s="2" t="str">
        <f>"无"</f>
        <v>无</v>
      </c>
      <c r="AD194" s="2" t="str">
        <f>""</f>
        <v/>
      </c>
      <c r="AE194" s="4">
        <v>43434.391585648147</v>
      </c>
      <c r="AF194" s="2">
        <v>1</v>
      </c>
      <c r="AG194" s="2">
        <v>1</v>
      </c>
      <c r="AH194" s="2">
        <v>1</v>
      </c>
      <c r="AI194" s="2" t="str">
        <f>"18002016021"</f>
        <v>18002016021</v>
      </c>
      <c r="AJ194" s="2">
        <v>60</v>
      </c>
      <c r="AK194" s="2">
        <v>21</v>
      </c>
      <c r="AL194" s="2" t="s">
        <v>119</v>
      </c>
      <c r="AM194" s="2" t="s">
        <v>120</v>
      </c>
      <c r="AN194" s="2">
        <v>1</v>
      </c>
      <c r="AO194" s="2">
        <v>4391</v>
      </c>
      <c r="AP194" s="2" t="s">
        <v>59</v>
      </c>
      <c r="AQ194" s="2"/>
      <c r="AR194" s="2" t="s">
        <v>330</v>
      </c>
      <c r="AS194" s="3" t="s">
        <v>331</v>
      </c>
      <c r="AT194" s="2" t="s">
        <v>117</v>
      </c>
      <c r="AU194" s="2" t="s">
        <v>117</v>
      </c>
      <c r="AV194" s="7">
        <v>69.650000000000006</v>
      </c>
      <c r="AW194" s="2">
        <v>3</v>
      </c>
      <c r="AX194" s="2"/>
      <c r="AY194" s="2"/>
    </row>
    <row r="195" spans="1:51" ht="18.75" customHeight="1">
      <c r="A195" t="str">
        <f>"1002201811261845262538"</f>
        <v>1002201811261845262538</v>
      </c>
      <c r="B195" s="9">
        <v>193</v>
      </c>
      <c r="C195" s="2" t="s">
        <v>216</v>
      </c>
      <c r="D195" s="2" t="str">
        <f>"曹崇海"</f>
        <v>曹崇海</v>
      </c>
      <c r="E195" s="2" t="str">
        <f>"男"</f>
        <v>男</v>
      </c>
      <c r="F195" s="2" t="str">
        <f>"1986-07-10"</f>
        <v>1986-07-10</v>
      </c>
      <c r="G195" s="2" t="str">
        <f>"320382198607101337"</f>
        <v>320382198607101337</v>
      </c>
      <c r="H195" s="2" t="str">
        <f>"江苏省邳州市"</f>
        <v>江苏省邳州市</v>
      </c>
      <c r="I195" s="2" t="str">
        <f t="shared" si="107"/>
        <v>非应届生</v>
      </c>
      <c r="J195" s="2" t="str">
        <f>"畜牧师"</f>
        <v>畜牧师</v>
      </c>
      <c r="K195" s="2" t="str">
        <f>"2011.06"</f>
        <v>2011.06</v>
      </c>
      <c r="L195" s="2" t="str">
        <f>"研究生"</f>
        <v>研究生</v>
      </c>
      <c r="M195" s="2" t="str">
        <f>"浙江大学"</f>
        <v>浙江大学</v>
      </c>
      <c r="N195" s="2" t="str">
        <f>"动物营养与饲料科学"</f>
        <v>动物营养与饲料科学</v>
      </c>
      <c r="O195" s="2" t="str">
        <f>"硕士"</f>
        <v>硕士</v>
      </c>
      <c r="P195" s="2" t="str">
        <f>"181"</f>
        <v>181</v>
      </c>
      <c r="Q195" s="2" t="str">
        <f>"淮安生物工程高等职业学校"</f>
        <v>淮安生物工程高等职业学校</v>
      </c>
      <c r="R195" s="2" t="str">
        <f>"2012.07"</f>
        <v>2012.07</v>
      </c>
      <c r="S195" s="2" t="str">
        <f>"江苏省淮安市淮安区前进路18号"</f>
        <v>江苏省淮安市淮安区前进路18号</v>
      </c>
      <c r="T195" s="2" t="str">
        <f>"223200"</f>
        <v>223200</v>
      </c>
      <c r="U195" s="2" t="str">
        <f>"18761008522"</f>
        <v>18761008522</v>
      </c>
      <c r="V195" s="2" t="str">
        <f>"18936901088"</f>
        <v>18936901088</v>
      </c>
      <c r="W195" s="2" t="str">
        <f>"二级甲等"</f>
        <v>二级甲等</v>
      </c>
      <c r="X195" s="2" t="str">
        <f t="shared" si="115"/>
        <v>否</v>
      </c>
      <c r="Y195" s="2" t="str">
        <f>"CET六级"</f>
        <v>CET六级</v>
      </c>
      <c r="Z195" s="2" t="str">
        <f>"江苏省贰级"</f>
        <v>江苏省贰级</v>
      </c>
      <c r="AA195" s="2" t="str">
        <f>"父亲|曹学昶|江苏省邳州市安贤小学|母亲|冯永红|无|配偶|董蓉|宿迁学院|||"</f>
        <v>父亲|曹学昶|江苏省邳州市安贤小学|母亲|冯永红|无|配偶|董蓉|宿迁学院|||</v>
      </c>
      <c r="AB195" s="2" t="str">
        <f>"2001.9-2004.6  江苏省邳州市运河中学  高中 学生_x000D_
2004.9-2008.6  扬州大学 动物科学专业  本科 学生_x000D_
2009.9-2011.6  浙江大学 动物营养与饲料科学专业  硕士研究生 学生_x000D_
2011.7-2012.5  山东六和集团、中粮肉食(宿迁)有限公司_x000D_
2012.7-2015.8  江苏省沭阳县农业科学研究所  办事员_x000D_
2015.9-今      淮安生物工程高等职业学校   教师"</f>
        <v>2001.9-2004.6  江苏省邳州市运河中学  高中 学生_x000D_
2004.9-2008.6  扬州大学 动物科学专业  本科 学生_x000D_
2009.9-2011.6  浙江大学 动物营养与饲料科学专业  硕士研究生 学生_x000D_
2011.7-2012.5  山东六和集团、中粮肉食(宿迁)有限公司_x000D_
2012.7-2015.8  江苏省沭阳县农业科学研究所  办事员_x000D_
2015.9-今      淮安生物工程高等职业学校   教师</v>
      </c>
      <c r="AC195" s="2" t="str">
        <f t="shared" ref="AC195:AC197" si="116">"无"</f>
        <v>无</v>
      </c>
      <c r="AD195" s="2" t="str">
        <f>""</f>
        <v/>
      </c>
      <c r="AE195" s="4">
        <v>43431.626284722224</v>
      </c>
      <c r="AF195" s="2">
        <v>1</v>
      </c>
      <c r="AG195" s="2">
        <v>1</v>
      </c>
      <c r="AH195" s="2">
        <v>3</v>
      </c>
      <c r="AI195" s="2" t="str">
        <f>"18002016124"</f>
        <v>18002016124</v>
      </c>
      <c r="AJ195" s="2">
        <v>61</v>
      </c>
      <c r="AK195" s="2">
        <v>24</v>
      </c>
      <c r="AL195" s="2" t="s">
        <v>119</v>
      </c>
      <c r="AM195" s="2" t="s">
        <v>120</v>
      </c>
      <c r="AN195" s="2">
        <v>1</v>
      </c>
      <c r="AO195" s="2">
        <v>455</v>
      </c>
      <c r="AP195" s="2" t="s">
        <v>217</v>
      </c>
      <c r="AQ195" s="2"/>
      <c r="AR195" s="2" t="s">
        <v>330</v>
      </c>
      <c r="AS195" s="3" t="s">
        <v>331</v>
      </c>
      <c r="AT195" s="2" t="s">
        <v>117</v>
      </c>
      <c r="AU195" s="2" t="s">
        <v>117</v>
      </c>
      <c r="AV195" s="7">
        <v>74.25</v>
      </c>
      <c r="AW195" s="2">
        <v>1</v>
      </c>
      <c r="AX195" s="2"/>
      <c r="AY195" s="2"/>
    </row>
    <row r="196" spans="1:51" ht="18.75" customHeight="1">
      <c r="A196" t="str">
        <f>"100220181126102759933"</f>
        <v>100220181126102759933</v>
      </c>
      <c r="B196" s="9">
        <v>194</v>
      </c>
      <c r="C196" s="2" t="s">
        <v>216</v>
      </c>
      <c r="D196" s="2" t="str">
        <f>"浦竞文"</f>
        <v>浦竞文</v>
      </c>
      <c r="E196" s="2" t="str">
        <f>"女"</f>
        <v>女</v>
      </c>
      <c r="F196" s="2" t="str">
        <f>"1993-02-15"</f>
        <v>1993-02-15</v>
      </c>
      <c r="G196" s="2" t="str">
        <f>"321182199302150028"</f>
        <v>321182199302150028</v>
      </c>
      <c r="H196" s="2" t="str">
        <f>"江苏扬中"</f>
        <v>江苏扬中</v>
      </c>
      <c r="I196" s="2" t="str">
        <f t="shared" si="107"/>
        <v>非应届生</v>
      </c>
      <c r="J196" s="2" t="str">
        <f>"无"</f>
        <v>无</v>
      </c>
      <c r="K196" s="2" t="str">
        <f>"2018.6"</f>
        <v>2018.6</v>
      </c>
      <c r="L196" s="2" t="str">
        <f>"研究生"</f>
        <v>研究生</v>
      </c>
      <c r="M196" s="2" t="str">
        <f>"上海海洋大学"</f>
        <v>上海海洋大学</v>
      </c>
      <c r="N196" s="2" t="str">
        <f>"动物遗传育种与繁殖"</f>
        <v>动物遗传育种与繁殖</v>
      </c>
      <c r="O196" s="2" t="str">
        <f>"硕士"</f>
        <v>硕士</v>
      </c>
      <c r="P196" s="2" t="str">
        <f>"158"</f>
        <v>158</v>
      </c>
      <c r="Q196" s="2" t="str">
        <f>"江苏省扬州市江都区农业委员会"</f>
        <v>江苏省扬州市江都区农业委员会</v>
      </c>
      <c r="R196" s="2" t="str">
        <f>"2018.9"</f>
        <v>2018.9</v>
      </c>
      <c r="S196" s="2" t="str">
        <f>"江苏省扬州市江都区龙川花苑5幢505室"</f>
        <v>江苏省扬州市江都区龙川花苑5幢505室</v>
      </c>
      <c r="T196" s="2" t="str">
        <f>"225200"</f>
        <v>225200</v>
      </c>
      <c r="U196" s="2" t="str">
        <f>"无"</f>
        <v>无</v>
      </c>
      <c r="V196" s="2" t="str">
        <f>"15205288146"</f>
        <v>15205288146</v>
      </c>
      <c r="W196" s="2" t="str">
        <f>"二级乙等"</f>
        <v>二级乙等</v>
      </c>
      <c r="X196" s="2" t="str">
        <f t="shared" si="115"/>
        <v>否</v>
      </c>
      <c r="Y196" s="2" t="str">
        <f>"CET6"</f>
        <v>CET6</v>
      </c>
      <c r="Z196" s="2" t="str">
        <f>"无"</f>
        <v>无</v>
      </c>
      <c r="AA196" s="2" t="str">
        <f>"父亲|浦正杰|江苏省镇江市扬中市人民医院|母亲|张荣|江苏省镇江市扬中市外国语小学||||||"</f>
        <v>父亲|浦正杰|江苏省镇江市扬中市人民医院|母亲|张荣|江苏省镇江市扬中市外国语小学||||||</v>
      </c>
      <c r="AB196" s="2" t="str">
        <f>"2008.09-2011.06 江苏省扬中高级中学 学生_x000D_
2011.09-2015.06 淮海工学院 学生_x000D_
2015.09-2018.06 上海海洋大学 学生_x000D_
2018.09-至今 扬州市三支一扶 支农"</f>
        <v>2008.09-2011.06 江苏省扬中高级中学 学生_x000D_
2011.09-2015.06 淮海工学院 学生_x000D_
2015.09-2018.06 上海海洋大学 学生_x000D_
2018.09-至今 扬州市三支一扶 支农</v>
      </c>
      <c r="AC196" s="2" t="str">
        <f t="shared" si="116"/>
        <v>无</v>
      </c>
      <c r="AD196" s="2" t="str">
        <f>""</f>
        <v/>
      </c>
      <c r="AE196" s="4">
        <v>43430.456712962965</v>
      </c>
      <c r="AF196" s="2">
        <v>1</v>
      </c>
      <c r="AG196" s="2">
        <v>1</v>
      </c>
      <c r="AH196" s="2">
        <v>1</v>
      </c>
      <c r="AI196" s="2" t="str">
        <f>"18002016305"</f>
        <v>18002016305</v>
      </c>
      <c r="AJ196" s="2">
        <v>63</v>
      </c>
      <c r="AK196" s="2">
        <v>5</v>
      </c>
      <c r="AL196" s="2" t="s">
        <v>119</v>
      </c>
      <c r="AM196" s="2" t="s">
        <v>120</v>
      </c>
      <c r="AN196" s="2">
        <v>1</v>
      </c>
      <c r="AO196" s="2">
        <v>7929</v>
      </c>
      <c r="AP196" s="2" t="s">
        <v>219</v>
      </c>
      <c r="AQ196" s="2"/>
      <c r="AR196" s="2" t="s">
        <v>330</v>
      </c>
      <c r="AS196" s="3" t="s">
        <v>331</v>
      </c>
      <c r="AT196" s="2" t="s">
        <v>117</v>
      </c>
      <c r="AU196" s="2" t="s">
        <v>117</v>
      </c>
      <c r="AV196" s="7">
        <v>70.849999999999994</v>
      </c>
      <c r="AW196" s="2">
        <v>2</v>
      </c>
      <c r="AX196" s="2"/>
      <c r="AY196" s="2"/>
    </row>
    <row r="197" spans="1:51" ht="18.75" customHeight="1">
      <c r="A197" t="str">
        <f>"1002201811271023303387"</f>
        <v>1002201811271023303387</v>
      </c>
      <c r="B197" s="9">
        <v>195</v>
      </c>
      <c r="C197" s="2" t="s">
        <v>216</v>
      </c>
      <c r="D197" s="2" t="str">
        <f>"李静瑶"</f>
        <v>李静瑶</v>
      </c>
      <c r="E197" s="2" t="str">
        <f>"女"</f>
        <v>女</v>
      </c>
      <c r="F197" s="2" t="str">
        <f>"1993-06-25"</f>
        <v>1993-06-25</v>
      </c>
      <c r="G197" s="2" t="str">
        <f>"321201199306250621"</f>
        <v>321201199306250621</v>
      </c>
      <c r="H197" s="2" t="str">
        <f>"江苏泰州"</f>
        <v>江苏泰州</v>
      </c>
      <c r="I197" s="2" t="str">
        <f t="shared" si="107"/>
        <v>非应届生</v>
      </c>
      <c r="J197" s="2" t="str">
        <f>"无"</f>
        <v>无</v>
      </c>
      <c r="K197" s="2" t="str">
        <f>"2015.06"</f>
        <v>2015.06</v>
      </c>
      <c r="L197" s="2" t="str">
        <f>"学士"</f>
        <v>学士</v>
      </c>
      <c r="M197" s="2" t="str">
        <f>"淮海工学院"</f>
        <v>淮海工学院</v>
      </c>
      <c r="N197" s="2" t="str">
        <f>"动植物检疫"</f>
        <v>动植物检疫</v>
      </c>
      <c r="O197" s="2" t="str">
        <f>"本科"</f>
        <v>本科</v>
      </c>
      <c r="P197" s="2" t="str">
        <f>"155"</f>
        <v>155</v>
      </c>
      <c r="Q197" s="2" t="str">
        <f>"无"</f>
        <v>无</v>
      </c>
      <c r="R197" s="2" t="str">
        <f>"2015.09"</f>
        <v>2015.09</v>
      </c>
      <c r="S197" s="2" t="str">
        <f>"泰州市医药高新区正太周山汇水5号楼402室"</f>
        <v>泰州市医药高新区正太周山汇水5号楼402室</v>
      </c>
      <c r="T197" s="2" t="str">
        <f>"225300"</f>
        <v>225300</v>
      </c>
      <c r="U197" s="2" t="str">
        <f>"无"</f>
        <v>无</v>
      </c>
      <c r="V197" s="2" t="str">
        <f>"18261065456"</f>
        <v>18261065456</v>
      </c>
      <c r="W197" s="2" t="str">
        <f>"二级甲等"</f>
        <v>二级甲等</v>
      </c>
      <c r="X197" s="2" t="str">
        <f>"是"</f>
        <v>是</v>
      </c>
      <c r="Y197" s="2" t="str">
        <f>"大学英语六级"</f>
        <v>大学英语六级</v>
      </c>
      <c r="Z197" s="2" t="str">
        <f>"全国计算机二级"</f>
        <v>全国计算机二级</v>
      </c>
      <c r="AA197" s="2" t="str">
        <f>"父亲|李其国|泰州市华民锌品有限公司|母亲|程伍英|泰州职业技术学院|配偶|孙小康|江苏开昱装饰工程有限公司|||"</f>
        <v>父亲|李其国|泰州市华民锌品有限公司|母亲|程伍英|泰州职业技术学院|配偶|孙小康|江苏开昱装饰工程有限公司|||</v>
      </c>
      <c r="AB197" s="2" t="str">
        <f>"2011.09-2015.06	淮海工学院 动植物检疫_x000D_
2012.09-2015.06	淮海工学院 财务会计与审计_x000D_
2015.09-2016.07	无锡傲锐东源生物科技有限公司 _x000D_
2016.08-2017.08	大丰区动物卫生监督所_x000D_
2018.04-3018.08 泰州市科技馆"</f>
        <v>2011.09-2015.06	淮海工学院 动植物检疫_x000D_
2012.09-2015.06	淮海工学院 财务会计与审计_x000D_
2015.09-2016.07	无锡傲锐东源生物科技有限公司 _x000D_
2016.08-2017.08	大丰区动物卫生监督所_x000D_
2018.04-3018.08 泰州市科技馆</v>
      </c>
      <c r="AC197" s="2" t="str">
        <f t="shared" si="116"/>
        <v>无</v>
      </c>
      <c r="AD197" s="2" t="str">
        <f>""</f>
        <v/>
      </c>
      <c r="AE197" s="4">
        <v>43433.607407407406</v>
      </c>
      <c r="AF197" s="2">
        <v>1</v>
      </c>
      <c r="AG197" s="2">
        <v>1</v>
      </c>
      <c r="AH197" s="2">
        <v>4</v>
      </c>
      <c r="AI197" s="2" t="str">
        <f>"18002016210"</f>
        <v>18002016210</v>
      </c>
      <c r="AJ197" s="2">
        <v>62</v>
      </c>
      <c r="AK197" s="2">
        <v>10</v>
      </c>
      <c r="AL197" s="2" t="s">
        <v>119</v>
      </c>
      <c r="AM197" s="2" t="s">
        <v>120</v>
      </c>
      <c r="AN197" s="2">
        <v>1</v>
      </c>
      <c r="AO197" s="2">
        <v>3254</v>
      </c>
      <c r="AP197" s="2" t="s">
        <v>218</v>
      </c>
      <c r="AQ197" s="2"/>
      <c r="AR197" s="2" t="s">
        <v>330</v>
      </c>
      <c r="AS197" s="3" t="s">
        <v>331</v>
      </c>
      <c r="AT197" s="2" t="s">
        <v>117</v>
      </c>
      <c r="AU197" s="2" t="s">
        <v>117</v>
      </c>
      <c r="AV197" s="7">
        <v>69.849999999999994</v>
      </c>
      <c r="AW197" s="2">
        <v>3</v>
      </c>
      <c r="AX197" s="2"/>
      <c r="AY197" s="2"/>
    </row>
    <row r="198" spans="1:51" ht="18.75" customHeight="1">
      <c r="A198" t="str">
        <f>"1002201811281910435181"</f>
        <v>1002201811281910435181</v>
      </c>
      <c r="B198" s="9">
        <v>196</v>
      </c>
      <c r="C198" s="2" t="s">
        <v>45</v>
      </c>
      <c r="D198" s="2" t="str">
        <f>"成丹青"</f>
        <v>成丹青</v>
      </c>
      <c r="E198" s="2" t="str">
        <f>"男"</f>
        <v>男</v>
      </c>
      <c r="F198" s="2" t="str">
        <f>"1991-02-09"</f>
        <v>1991-02-09</v>
      </c>
      <c r="G198" s="2" t="str">
        <f>"320683199102091716"</f>
        <v>320683199102091716</v>
      </c>
      <c r="H198" s="2" t="str">
        <f>"江苏省南通市"</f>
        <v>江苏省南通市</v>
      </c>
      <c r="I198" s="2" t="str">
        <f t="shared" si="107"/>
        <v>非应届生</v>
      </c>
      <c r="J198" s="2" t="str">
        <f t="shared" ref="J198:J200" si="117">"无"</f>
        <v>无</v>
      </c>
      <c r="K198" s="2" t="str">
        <f>"2014.6"</f>
        <v>2014.6</v>
      </c>
      <c r="L198" s="2" t="str">
        <f t="shared" ref="L198:L211" si="118">"学士"</f>
        <v>学士</v>
      </c>
      <c r="M198" s="2" t="str">
        <f>"南京信息工程大学滨江学院"</f>
        <v>南京信息工程大学滨江学院</v>
      </c>
      <c r="N198" s="2" t="str">
        <f>"网络工程"</f>
        <v>网络工程</v>
      </c>
      <c r="O198" s="2" t="str">
        <f t="shared" ref="O198:O215" si="119">"本科"</f>
        <v>本科</v>
      </c>
      <c r="P198" s="2" t="str">
        <f>"177"</f>
        <v>177</v>
      </c>
      <c r="Q198" s="2" t="str">
        <f>"无"</f>
        <v>无</v>
      </c>
      <c r="R198" s="2" t="str">
        <f>"2014.9"</f>
        <v>2014.9</v>
      </c>
      <c r="S198" s="2" t="str">
        <f>"江苏省南通市通州区二甲镇北潭村"</f>
        <v>江苏省南通市通州区二甲镇北潭村</v>
      </c>
      <c r="T198" s="2" t="str">
        <f>"226300"</f>
        <v>226300</v>
      </c>
      <c r="U198" s="2" t="str">
        <f>"13770796386"</f>
        <v>13770796386</v>
      </c>
      <c r="V198" s="2" t="str">
        <f>"18516157931"</f>
        <v>18516157931</v>
      </c>
      <c r="W198" s="2" t="str">
        <f>"无"</f>
        <v>无</v>
      </c>
      <c r="X198" s="2" t="str">
        <f t="shared" ref="X198:X215" si="120">"否"</f>
        <v>否</v>
      </c>
      <c r="Y198" s="2" t="str">
        <f>"一般"</f>
        <v>一般</v>
      </c>
      <c r="Z198" s="2" t="str">
        <f>"计算机四级"</f>
        <v>计算机四级</v>
      </c>
      <c r="AA198" s="2" t="str">
        <f>"夫妻|顾玲玲|南通万达影城|父子|成岗|自由职业|母子|张素荣|无|||"</f>
        <v>夫妻|顾玲玲|南通万达影城|父子|成岗|自由职业|母子|张素荣|无|||</v>
      </c>
      <c r="AB198" s="2" t="str">
        <f>"2007.09-2010.06 二甲中学_x000D_
2010.09-2014.06 南京信息工程大学滨江学院_x000D_
2014.09-2016.05 南京嘉环科技有限公司_x000D_
2016.07-2018.06 江苏芯电物联科技有限责任公司"</f>
        <v>2007.09-2010.06 二甲中学_x000D_
2010.09-2014.06 南京信息工程大学滨江学院_x000D_
2014.09-2016.05 南京嘉环科技有限公司_x000D_
2016.07-2018.06 江苏芯电物联科技有限责任公司</v>
      </c>
      <c r="AC198" s="2" t="str">
        <f>"无"</f>
        <v>无</v>
      </c>
      <c r="AD198" s="2" t="str">
        <f>""</f>
        <v/>
      </c>
      <c r="AE198" s="4">
        <v>43432.621342592596</v>
      </c>
      <c r="AF198" s="2">
        <v>1</v>
      </c>
      <c r="AG198" s="2">
        <v>1</v>
      </c>
      <c r="AH198" s="2">
        <v>1</v>
      </c>
      <c r="AI198" s="2" t="str">
        <f>"18002029117"</f>
        <v>18002029117</v>
      </c>
      <c r="AJ198" s="2">
        <v>91</v>
      </c>
      <c r="AK198" s="2">
        <v>17</v>
      </c>
      <c r="AL198" s="2" t="s">
        <v>42</v>
      </c>
      <c r="AM198" s="2" t="s">
        <v>43</v>
      </c>
      <c r="AN198" s="2">
        <v>2</v>
      </c>
      <c r="AO198" s="2">
        <v>4972</v>
      </c>
      <c r="AP198" s="2" t="s">
        <v>69</v>
      </c>
      <c r="AQ198" s="2"/>
      <c r="AR198" s="2" t="s">
        <v>104</v>
      </c>
      <c r="AS198" s="3" t="s">
        <v>109</v>
      </c>
      <c r="AT198" s="2">
        <v>85</v>
      </c>
      <c r="AU198" s="2" t="s">
        <v>117</v>
      </c>
      <c r="AV198" s="6">
        <f t="shared" ref="AV198:AV200" si="121">AT198</f>
        <v>85</v>
      </c>
      <c r="AW198" s="2">
        <v>1</v>
      </c>
      <c r="AX198" s="2"/>
      <c r="AY198" s="2"/>
    </row>
    <row r="199" spans="1:51" ht="18.75" customHeight="1">
      <c r="A199" t="str">
        <f>"1002201811291525446004"</f>
        <v>1002201811291525446004</v>
      </c>
      <c r="B199" s="9">
        <v>197</v>
      </c>
      <c r="C199" s="2" t="s">
        <v>45</v>
      </c>
      <c r="D199" s="2" t="str">
        <f>"汪坤"</f>
        <v>汪坤</v>
      </c>
      <c r="E199" s="2" t="str">
        <f>"男"</f>
        <v>男</v>
      </c>
      <c r="F199" s="2" t="str">
        <f>"1993-07-12"</f>
        <v>1993-07-12</v>
      </c>
      <c r="G199" s="2" t="str">
        <f>"320602199307123015"</f>
        <v>320602199307123015</v>
      </c>
      <c r="H199" s="2" t="str">
        <f>"江苏南通"</f>
        <v>江苏南通</v>
      </c>
      <c r="I199" s="2" t="str">
        <f t="shared" si="107"/>
        <v>非应届生</v>
      </c>
      <c r="J199" s="2" t="str">
        <f t="shared" si="117"/>
        <v>无</v>
      </c>
      <c r="K199" s="2" t="str">
        <f>"2016.06"</f>
        <v>2016.06</v>
      </c>
      <c r="L199" s="2" t="str">
        <f t="shared" si="118"/>
        <v>学士</v>
      </c>
      <c r="M199" s="2" t="str">
        <f>"江苏科技大学"</f>
        <v>江苏科技大学</v>
      </c>
      <c r="N199" s="2" t="str">
        <f>"计算机科学与技术"</f>
        <v>计算机科学与技术</v>
      </c>
      <c r="O199" s="2" t="str">
        <f t="shared" si="119"/>
        <v>本科</v>
      </c>
      <c r="P199" s="2" t="str">
        <f>"172.5"</f>
        <v>172.5</v>
      </c>
      <c r="Q199" s="2" t="str">
        <f>"南通市人才事务所有限公司"</f>
        <v>南通市人才事务所有限公司</v>
      </c>
      <c r="R199" s="2" t="str">
        <f>"2017.01"</f>
        <v>2017.01</v>
      </c>
      <c r="S199" s="2" t="str">
        <f>"崇川区百花南苑5-203"</f>
        <v>崇川区百花南苑5-203</v>
      </c>
      <c r="T199" s="2" t="str">
        <f>"226000"</f>
        <v>226000</v>
      </c>
      <c r="U199" s="2" t="str">
        <f>"85098627"</f>
        <v>85098627</v>
      </c>
      <c r="V199" s="2" t="str">
        <f>"13912271236"</f>
        <v>13912271236</v>
      </c>
      <c r="W199" s="2" t="str">
        <f>"无"</f>
        <v>无</v>
      </c>
      <c r="X199" s="2" t="str">
        <f t="shared" si="120"/>
        <v>否</v>
      </c>
      <c r="Y199" s="2" t="str">
        <f>"大学四级"</f>
        <v>大学四级</v>
      </c>
      <c r="Z199" s="2" t="str">
        <f>"熟练"</f>
        <v>熟练</v>
      </c>
      <c r="AA199" s="2" t="str">
        <f>"父亲|汪卫健|南通市公安局|母亲|孙来娣|||||||"</f>
        <v>父亲|汪卫健|南通市公安局|母亲|孙来娣|||||||</v>
      </c>
      <c r="AB199" s="2" t="str">
        <f>"2009.09-2012.06 江苏省南通第一中学 学生_x000D_
2012.09-2016.06 江苏科技大学 学生_x000D_
2017.01-2017.07 江苏力人信息科技有限公司 职员 _x000D_
2017.09-2018.04 崇川区学田街道办事处 社干_x000D_
2018.04至今     南通市人才事务所有限公司 职员"</f>
        <v>2009.09-2012.06 江苏省南通第一中学 学生_x000D_
2012.09-2016.06 江苏科技大学 学生_x000D_
2017.01-2017.07 江苏力人信息科技有限公司 职员 _x000D_
2017.09-2018.04 崇川区学田街道办事处 社干_x000D_
2018.04至今     南通市人才事务所有限公司 职员</v>
      </c>
      <c r="AC199" s="2" t="str">
        <f>"无"</f>
        <v>无</v>
      </c>
      <c r="AD199" s="2" t="str">
        <f>""</f>
        <v/>
      </c>
      <c r="AE199" s="4">
        <v>43434.62327546296</v>
      </c>
      <c r="AF199" s="2">
        <v>1</v>
      </c>
      <c r="AG199" s="2">
        <v>1</v>
      </c>
      <c r="AH199" s="2">
        <v>1</v>
      </c>
      <c r="AI199" s="2" t="str">
        <f>"18002029029"</f>
        <v>18002029029</v>
      </c>
      <c r="AJ199" s="2">
        <v>90</v>
      </c>
      <c r="AK199" s="2">
        <v>29</v>
      </c>
      <c r="AL199" s="2" t="s">
        <v>42</v>
      </c>
      <c r="AM199" s="2" t="s">
        <v>43</v>
      </c>
      <c r="AN199" s="2">
        <v>2</v>
      </c>
      <c r="AO199" s="2">
        <v>803</v>
      </c>
      <c r="AP199" s="2" t="s">
        <v>62</v>
      </c>
      <c r="AQ199" s="2"/>
      <c r="AR199" s="2" t="s">
        <v>104</v>
      </c>
      <c r="AS199" s="3" t="s">
        <v>109</v>
      </c>
      <c r="AT199" s="2">
        <v>84.5</v>
      </c>
      <c r="AU199" s="2" t="s">
        <v>117</v>
      </c>
      <c r="AV199" s="6">
        <f t="shared" si="121"/>
        <v>84.5</v>
      </c>
      <c r="AW199" s="2">
        <v>2</v>
      </c>
      <c r="AX199" s="2"/>
      <c r="AY199" s="2"/>
    </row>
    <row r="200" spans="1:51" ht="18.75" customHeight="1">
      <c r="A200" t="str">
        <f>"1002201811291018335636"</f>
        <v>1002201811291018335636</v>
      </c>
      <c r="B200" s="9">
        <v>198</v>
      </c>
      <c r="C200" s="2" t="s">
        <v>45</v>
      </c>
      <c r="D200" s="2" t="str">
        <f>"汤佳凤"</f>
        <v>汤佳凤</v>
      </c>
      <c r="E200" s="2" t="str">
        <f>"女"</f>
        <v>女</v>
      </c>
      <c r="F200" s="2" t="str">
        <f>"1989-01-26"</f>
        <v>1989-01-26</v>
      </c>
      <c r="G200" s="2" t="str">
        <f>"32068219890126220X"</f>
        <v>32068219890126220X</v>
      </c>
      <c r="H200" s="2" t="str">
        <f>"江苏省如皋市白蒲镇沈桥村"</f>
        <v>江苏省如皋市白蒲镇沈桥村</v>
      </c>
      <c r="I200" s="2" t="str">
        <f t="shared" si="107"/>
        <v>非应届生</v>
      </c>
      <c r="J200" s="2" t="str">
        <f t="shared" si="117"/>
        <v>无</v>
      </c>
      <c r="K200" s="2" t="str">
        <f>"2011.04"</f>
        <v>2011.04</v>
      </c>
      <c r="L200" s="2" t="str">
        <f t="shared" si="118"/>
        <v>学士</v>
      </c>
      <c r="M200" s="2" t="str">
        <f>"南京大学"</f>
        <v>南京大学</v>
      </c>
      <c r="N200" s="2" t="str">
        <f>"计算机科学与应用"</f>
        <v>计算机科学与应用</v>
      </c>
      <c r="O200" s="2" t="str">
        <f t="shared" si="119"/>
        <v>本科</v>
      </c>
      <c r="P200" s="2" t="str">
        <f>"156"</f>
        <v>156</v>
      </c>
      <c r="Q200" s="2" t="str">
        <f>"创业软件股份有限公司"</f>
        <v>创业软件股份有限公司</v>
      </c>
      <c r="R200" s="2" t="str">
        <f>"2011.04"</f>
        <v>2011.04</v>
      </c>
      <c r="S200" s="2" t="str">
        <f>"江苏省如皋市长江镇郭园居委会28组38号"</f>
        <v>江苏省如皋市长江镇郭园居委会28组38号</v>
      </c>
      <c r="T200" s="2" t="str">
        <f>"226500"</f>
        <v>226500</v>
      </c>
      <c r="U200" s="2" t="str">
        <f>"18862979288"</f>
        <v>18862979288</v>
      </c>
      <c r="V200" s="2" t="str">
        <f>"15861871633"</f>
        <v>15861871633</v>
      </c>
      <c r="W200" s="2" t="str">
        <f>"无"</f>
        <v>无</v>
      </c>
      <c r="X200" s="2" t="str">
        <f t="shared" si="120"/>
        <v>否</v>
      </c>
      <c r="Y200" s="2" t="str">
        <f>"英语四级"</f>
        <v>英语四级</v>
      </c>
      <c r="Z200" s="2" t="str">
        <f>"计算机2级、华为h3c认证工程师、网络管理员证书"</f>
        <v>计算机2级、华为h3c认证工程师、网络管理员证书</v>
      </c>
      <c r="AA200" s="2" t="str">
        <f>"丈夫|郭海兵||||||||||"</f>
        <v>丈夫|郭海兵||||||||||</v>
      </c>
      <c r="AB200" s="2" t="str">
        <f>"学习经历：_x000D_
2009.09-2011.04 南京大学(专接本) 学生_x000D_
2007.09-2009.06 常州信息职业技术学院 学生_x000D_
工作经历：_x000D_
2014.12-至今 创业软件股份有限公司 技术支持/维护工程师_x000D_
2013.03-2014.01 江苏正融科技有限公司 软件工程师_x000D_
2012.02-2013.03 江苏鑫亿软件有限公司 程序员_x000D_
2011.04-2012.02 江苏华企移搜科技有限公司 互联网软件开发工程师"</f>
        <v>学习经历：_x000D_
2009.09-2011.04 南京大学(专接本) 学生_x000D_
2007.09-2009.06 常州信息职业技术学院 学生_x000D_
工作经历：_x000D_
2014.12-至今 创业软件股份有限公司 技术支持/维护工程师_x000D_
2013.03-2014.01 江苏正融科技有限公司 软件工程师_x000D_
2012.02-2013.03 江苏鑫亿软件有限公司 程序员_x000D_
2011.04-2012.02 江苏华企移搜科技有限公司 互联网软件开发工程师</v>
      </c>
      <c r="AC200" s="2" t="str">
        <f>"从事医院his行业已经超过6年，上线、维护了近几百家乡镇卫生院和一级医院。对二级医院、三甲医院的信息化建设、维护均有比较丰富的经验。南通市第三人民医院、嘉兴武警医院都是我实施维护的典型案例。作为一名中共党员，我一定会敬业爱岗、勤奋工作，时时处处都要表现出一名党员应有的先进性和思想觉悟，为党交上一份合格的试卷。"</f>
        <v>从事医院his行业已经超过6年，上线、维护了近几百家乡镇卫生院和一级医院。对二级医院、三甲医院的信息化建设、维护均有比较丰富的经验。南通市第三人民医院、嘉兴武警医院都是我实施维护的典型案例。作为一名中共党员，我一定会敬业爱岗、勤奋工作，时时处处都要表现出一名党员应有的先进性和思想觉悟，为党交上一份合格的试卷。</v>
      </c>
      <c r="AD200" s="2" t="str">
        <f>"目前驻点在南通三院信息科，对三院的信息化系统进行维护和项目验收工作；对如皋三院的信息化系统也比较了解和熟悉。"</f>
        <v>目前驻点在南通三院信息科，对三院的信息化系统进行维护和项目验收工作；对如皋三院的信息化系统也比较了解和熟悉。</v>
      </c>
      <c r="AE200" s="4">
        <v>43430.684120370373</v>
      </c>
      <c r="AF200" s="2">
        <v>1</v>
      </c>
      <c r="AG200" s="2">
        <v>1</v>
      </c>
      <c r="AH200" s="2">
        <v>2</v>
      </c>
      <c r="AI200" s="2" t="str">
        <f>"18002029108"</f>
        <v>18002029108</v>
      </c>
      <c r="AJ200" s="2">
        <v>91</v>
      </c>
      <c r="AK200" s="2">
        <v>8</v>
      </c>
      <c r="AL200" s="2" t="s">
        <v>42</v>
      </c>
      <c r="AM200" s="2" t="s">
        <v>43</v>
      </c>
      <c r="AN200" s="2">
        <v>2</v>
      </c>
      <c r="AO200" s="2">
        <v>2234</v>
      </c>
      <c r="AP200" s="2" t="s">
        <v>52</v>
      </c>
      <c r="AQ200" s="2"/>
      <c r="AR200" s="2" t="s">
        <v>104</v>
      </c>
      <c r="AS200" s="3" t="s">
        <v>109</v>
      </c>
      <c r="AT200" s="2">
        <v>81.5</v>
      </c>
      <c r="AU200" s="2" t="s">
        <v>117</v>
      </c>
      <c r="AV200" s="6">
        <f t="shared" si="121"/>
        <v>81.5</v>
      </c>
      <c r="AW200" s="2">
        <v>3</v>
      </c>
      <c r="AX200" s="2"/>
      <c r="AY200" s="2"/>
    </row>
    <row r="201" spans="1:51" ht="18.75" customHeight="1">
      <c r="A201" t="str">
        <f>"1002201811261259121635"</f>
        <v>1002201811261259121635</v>
      </c>
      <c r="B201" s="9">
        <v>199</v>
      </c>
      <c r="C201" s="2" t="s">
        <v>220</v>
      </c>
      <c r="D201" s="2" t="str">
        <f>"郭菁清"</f>
        <v>郭菁清</v>
      </c>
      <c r="E201" s="2" t="str">
        <f>"女"</f>
        <v>女</v>
      </c>
      <c r="F201" s="2" t="str">
        <f>"1992-11-18"</f>
        <v>1992-11-18</v>
      </c>
      <c r="G201" s="2" t="str">
        <f>"320621199211180743"</f>
        <v>320621199211180743</v>
      </c>
      <c r="H201" s="2" t="str">
        <f>"江苏省南通市"</f>
        <v>江苏省南通市</v>
      </c>
      <c r="I201" s="2" t="str">
        <f t="shared" si="107"/>
        <v>非应届生</v>
      </c>
      <c r="J201" s="2" t="str">
        <f>"初级会计职称、注册税务筹划师"</f>
        <v>初级会计职称、注册税务筹划师</v>
      </c>
      <c r="K201" s="2" t="str">
        <f>"2015.06"</f>
        <v>2015.06</v>
      </c>
      <c r="L201" s="2" t="str">
        <f t="shared" si="118"/>
        <v>学士</v>
      </c>
      <c r="M201" s="2" t="str">
        <f>"南京审计学院"</f>
        <v>南京审计学院</v>
      </c>
      <c r="N201" s="2" t="str">
        <f>"会计学"</f>
        <v>会计学</v>
      </c>
      <c r="O201" s="2" t="str">
        <f t="shared" si="119"/>
        <v>本科</v>
      </c>
      <c r="P201" s="2" t="str">
        <f>"160"</f>
        <v>160</v>
      </c>
      <c r="Q201" s="2" t="str">
        <f>"海安农村商业银行股份有限公司"</f>
        <v>海安农村商业银行股份有限公司</v>
      </c>
      <c r="R201" s="2" t="str">
        <f>"2015.09"</f>
        <v>2015.09</v>
      </c>
      <c r="S201" s="2" t="str">
        <f>"江苏省南通市海安县中坝南路1号明珠城"</f>
        <v>江苏省南通市海安县中坝南路1号明珠城</v>
      </c>
      <c r="T201" s="2" t="str">
        <f>"226600"</f>
        <v>226600</v>
      </c>
      <c r="U201" s="2" t="str">
        <f>"0513-81803649"</f>
        <v>0513-81803649</v>
      </c>
      <c r="V201" s="2" t="str">
        <f>"18251917016"</f>
        <v>18251917016</v>
      </c>
      <c r="W201" s="2" t="str">
        <f>"二级乙等"</f>
        <v>二级乙等</v>
      </c>
      <c r="X201" s="2" t="str">
        <f t="shared" si="120"/>
        <v>否</v>
      </c>
      <c r="Y201" s="2" t="str">
        <f>"大学英语六级"</f>
        <v>大学英语六级</v>
      </c>
      <c r="Z201" s="2" t="str">
        <f>"全国计算机二级"</f>
        <v>全国计算机二级</v>
      </c>
      <c r="AA201" s="2" t="str">
        <f>"父亲|郭建华|南通好润多超市股份有限公司|母亲|冯小娟|南通好润多超市股份有限公司|配偶|黄明磊|公安局|||"</f>
        <v>父亲|郭建华|南通好润多超市股份有限公司|母亲|冯小娟|南通好润多超市股份有限公司|配偶|黄明磊|公安局|||</v>
      </c>
      <c r="AB201" s="2" t="str">
        <f>"2008.09-2011.06 海安市曲塘中学 学生_x000D_
2011.09-2015.06 南京审计学院会计专业 学生_x000D_
2015.09-2018.04 中国银行股份有限公司 职员_x000D_
2018.04至今     海安农村商业银行股份有限公司 职员"</f>
        <v>2008.09-2011.06 海安市曲塘中学 学生_x000D_
2011.09-2015.06 南京审计学院会计专业 学生_x000D_
2015.09-2018.04 中国银行股份有限公司 职员_x000D_
2018.04至今     海安农村商业银行股份有限公司 职员</v>
      </c>
      <c r="AC201" s="2" t="str">
        <f>"财务财会类"</f>
        <v>财务财会类</v>
      </c>
      <c r="AD201" s="2" t="str">
        <f>""</f>
        <v/>
      </c>
      <c r="AE201" s="4">
        <v>43430.550138888888</v>
      </c>
      <c r="AF201" s="2">
        <v>1</v>
      </c>
      <c r="AG201" s="2">
        <v>1</v>
      </c>
      <c r="AH201" s="2">
        <v>2</v>
      </c>
      <c r="AI201" s="2" t="str">
        <f>"18002016830"</f>
        <v>18002016830</v>
      </c>
      <c r="AJ201" s="2">
        <v>68</v>
      </c>
      <c r="AK201" s="2">
        <v>30</v>
      </c>
      <c r="AL201" s="2" t="s">
        <v>119</v>
      </c>
      <c r="AM201" s="2" t="s">
        <v>120</v>
      </c>
      <c r="AN201" s="2">
        <v>1</v>
      </c>
      <c r="AO201" s="2">
        <v>7344</v>
      </c>
      <c r="AP201" s="2" t="s">
        <v>223</v>
      </c>
      <c r="AQ201" s="2"/>
      <c r="AR201" s="2" t="s">
        <v>330</v>
      </c>
      <c r="AS201" s="3" t="s">
        <v>331</v>
      </c>
      <c r="AT201" s="2" t="s">
        <v>117</v>
      </c>
      <c r="AU201" s="2" t="s">
        <v>117</v>
      </c>
      <c r="AV201" s="7">
        <v>73</v>
      </c>
      <c r="AW201" s="2">
        <v>1</v>
      </c>
      <c r="AX201" s="2"/>
      <c r="AY201" s="2"/>
    </row>
    <row r="202" spans="1:51" ht="18.75" customHeight="1">
      <c r="A202" t="str">
        <f>"100220181126091959373"</f>
        <v>100220181126091959373</v>
      </c>
      <c r="B202" s="9">
        <v>200</v>
      </c>
      <c r="C202" s="2" t="s">
        <v>220</v>
      </c>
      <c r="D202" s="2" t="str">
        <f>"金彤"</f>
        <v>金彤</v>
      </c>
      <c r="E202" s="2" t="str">
        <f>"女"</f>
        <v>女</v>
      </c>
      <c r="F202" s="2" t="str">
        <f>"1990-07-09"</f>
        <v>1990-07-09</v>
      </c>
      <c r="G202" s="2" t="str">
        <f>"32062319900709682X"</f>
        <v>32062319900709682X</v>
      </c>
      <c r="H202" s="2" t="str">
        <f>"江苏省南京市浦口区"</f>
        <v>江苏省南京市浦口区</v>
      </c>
      <c r="I202" s="2" t="str">
        <f t="shared" si="107"/>
        <v>非应届生</v>
      </c>
      <c r="J202" s="2" t="str">
        <f>"会计从业资格证"</f>
        <v>会计从业资格证</v>
      </c>
      <c r="K202" s="2" t="str">
        <f>"2012.06"</f>
        <v>2012.06</v>
      </c>
      <c r="L202" s="2" t="str">
        <f t="shared" si="118"/>
        <v>学士</v>
      </c>
      <c r="M202" s="2" t="str">
        <f>"南京财经大学"</f>
        <v>南京财经大学</v>
      </c>
      <c r="N202" s="2" t="str">
        <f>"会计学"</f>
        <v>会计学</v>
      </c>
      <c r="O202" s="2" t="str">
        <f t="shared" si="119"/>
        <v>本科</v>
      </c>
      <c r="P202" s="2" t="str">
        <f>"160"</f>
        <v>160</v>
      </c>
      <c r="Q202" s="2" t="str">
        <f>"中国能源建设集团南京线路器材有限公司"</f>
        <v>中国能源建设集团南京线路器材有限公司</v>
      </c>
      <c r="R202" s="2" t="str">
        <f>"2012.06"</f>
        <v>2012.06</v>
      </c>
      <c r="S202" s="2" t="str">
        <f>"江苏省南京市浦口区大华锦绣华城柳州苑10栋3单元406"</f>
        <v>江苏省南京市浦口区大华锦绣华城柳州苑10栋3单元406</v>
      </c>
      <c r="T202" s="2" t="str">
        <f>"210037"</f>
        <v>210037</v>
      </c>
      <c r="U202" s="2" t="str">
        <f>"02568986106"</f>
        <v>02568986106</v>
      </c>
      <c r="V202" s="2" t="str">
        <f>"15195984816"</f>
        <v>15195984816</v>
      </c>
      <c r="W202" s="2" t="str">
        <f>"无"</f>
        <v>无</v>
      </c>
      <c r="X202" s="2" t="str">
        <f t="shared" si="120"/>
        <v>否</v>
      </c>
      <c r="Y202" s="2" t="str">
        <f>"英语六级"</f>
        <v>英语六级</v>
      </c>
      <c r="Z202" s="2" t="str">
        <f>"江苏省计算机二级"</f>
        <v>江苏省计算机二级</v>
      </c>
      <c r="AA202" s="2" t="str">
        <f>"父亲|金国荣|工商银行|母亲|薛芳|个体户|丈夫|刘航|军人|儿子|刘金典|"</f>
        <v>父亲|金国荣|工商银行|母亲|薛芳|个体户|丈夫|刘航|军人|儿子|刘金典|</v>
      </c>
      <c r="AB202" s="2" t="str">
        <f>"2005.09-2008.06  江苏省栟茶高级中学 学生_x000D_
2008.09-2012.06  南京财经大学会计学专业 学生_x000D_
2012.06-至今     中国能源建设集团南京线路器材有限公司  职员"</f>
        <v>2005.09-2008.06  江苏省栟茶高级中学 学生_x000D_
2008.09-2012.06  南京财经大学会计学专业 学生_x000D_
2012.06-至今     中国能源建设集团南京线路器材有限公司  职员</v>
      </c>
      <c r="AC202" s="2" t="str">
        <f>"无"</f>
        <v>无</v>
      </c>
      <c r="AD202" s="2" t="str">
        <f>""</f>
        <v/>
      </c>
      <c r="AE202" s="4">
        <v>43430.684293981481</v>
      </c>
      <c r="AF202" s="2">
        <v>1</v>
      </c>
      <c r="AG202" s="2">
        <v>1</v>
      </c>
      <c r="AH202" s="2">
        <v>2</v>
      </c>
      <c r="AI202" s="2" t="str">
        <f>"18002016617"</f>
        <v>18002016617</v>
      </c>
      <c r="AJ202" s="2">
        <v>66</v>
      </c>
      <c r="AK202" s="2">
        <v>17</v>
      </c>
      <c r="AL202" s="2" t="s">
        <v>119</v>
      </c>
      <c r="AM202" s="2" t="s">
        <v>120</v>
      </c>
      <c r="AN202" s="2">
        <v>1</v>
      </c>
      <c r="AO202" s="2">
        <v>3936</v>
      </c>
      <c r="AP202" s="2" t="s">
        <v>221</v>
      </c>
      <c r="AQ202" s="2"/>
      <c r="AR202" s="2" t="s">
        <v>330</v>
      </c>
      <c r="AS202" s="3" t="s">
        <v>331</v>
      </c>
      <c r="AT202" s="2" t="s">
        <v>117</v>
      </c>
      <c r="AU202" s="2" t="s">
        <v>117</v>
      </c>
      <c r="AV202" s="7">
        <v>72.55</v>
      </c>
      <c r="AW202" s="2">
        <v>2</v>
      </c>
      <c r="AX202" s="2"/>
      <c r="AY202" s="2"/>
    </row>
    <row r="203" spans="1:51" ht="18.75" customHeight="1">
      <c r="A203" t="str">
        <f>"1002201811282215445386"</f>
        <v>1002201811282215445386</v>
      </c>
      <c r="B203" s="9">
        <v>201</v>
      </c>
      <c r="C203" s="2" t="s">
        <v>220</v>
      </c>
      <c r="D203" s="2" t="str">
        <f>"顾甜"</f>
        <v>顾甜</v>
      </c>
      <c r="E203" s="2" t="str">
        <f>"女"</f>
        <v>女</v>
      </c>
      <c r="F203" s="2" t="str">
        <f>"1993-03-31"</f>
        <v>1993-03-31</v>
      </c>
      <c r="G203" s="2" t="str">
        <f>"320611199303311226"</f>
        <v>320611199303311226</v>
      </c>
      <c r="H203" s="2" t="str">
        <f>"江苏省南通市港闸区"</f>
        <v>江苏省南通市港闸区</v>
      </c>
      <c r="I203" s="2" t="str">
        <f t="shared" si="107"/>
        <v>非应届生</v>
      </c>
      <c r="J203" s="2" t="str">
        <f>"初级会计师"</f>
        <v>初级会计师</v>
      </c>
      <c r="K203" s="2" t="str">
        <f>"2015.07"</f>
        <v>2015.07</v>
      </c>
      <c r="L203" s="2" t="str">
        <f t="shared" si="118"/>
        <v>学士</v>
      </c>
      <c r="M203" s="2" t="str">
        <f>"南京财经大学"</f>
        <v>南京财经大学</v>
      </c>
      <c r="N203" s="2" t="str">
        <f>"会计学"</f>
        <v>会计学</v>
      </c>
      <c r="O203" s="2" t="str">
        <f t="shared" si="119"/>
        <v>本科</v>
      </c>
      <c r="P203" s="2" t="str">
        <f>"163"</f>
        <v>163</v>
      </c>
      <c r="Q203" s="2" t="str">
        <f>"南通市向阳标准件有限公司"</f>
        <v>南通市向阳标准件有限公司</v>
      </c>
      <c r="R203" s="2" t="str">
        <f>"2016.01"</f>
        <v>2016.01</v>
      </c>
      <c r="S203" s="2" t="str">
        <f>"南通市港闸区永兴佳园"</f>
        <v>南通市港闸区永兴佳园</v>
      </c>
      <c r="T203" s="2" t="str">
        <f>"226002"</f>
        <v>226002</v>
      </c>
      <c r="U203" s="2" t="str">
        <f>"0513-65062397"</f>
        <v>0513-65062397</v>
      </c>
      <c r="V203" s="2" t="str">
        <f>"18206294997"</f>
        <v>18206294997</v>
      </c>
      <c r="W203" s="2" t="str">
        <f>"二级甲等"</f>
        <v>二级甲等</v>
      </c>
      <c r="X203" s="2" t="str">
        <f t="shared" si="120"/>
        <v>否</v>
      </c>
      <c r="Y203" s="2" t="str">
        <f>"一般"</f>
        <v>一般</v>
      </c>
      <c r="Z203" s="2" t="str">
        <f>"熟练"</f>
        <v>熟练</v>
      </c>
      <c r="AA203" s="2" t="str">
        <f>"父亲|顾建|中航航空高科技股份有限公司|母亲|徐晓萍|江苏大生集团股份有限公司||||||"</f>
        <v>父亲|顾建|中航航空高科技股份有限公司|母亲|徐晓萍|江苏大生集团股份有限公司||||||</v>
      </c>
      <c r="AB203" s="2" t="str">
        <f>"2008.09-2011.07 南通市第二中学 学生_x000D_
2011.09-2015.07 南京财经大学会计学专业 学生_x000D_
2016.01-2016.12 南通久安消防过程有限公司 财务_x000D_
2017.03至今         南通市向阳标准件有限公司 财务"</f>
        <v>2008.09-2011.07 南通市第二中学 学生_x000D_
2011.09-2015.07 南京财经大学会计学专业 学生_x000D_
2016.01-2016.12 南通久安消防过程有限公司 财务_x000D_
2017.03至今         南通市向阳标准件有限公司 财务</v>
      </c>
      <c r="AC203" s="2" t="str">
        <f>"非应届生"</f>
        <v>非应届生</v>
      </c>
      <c r="AD203" s="2" t="str">
        <f>"无"</f>
        <v>无</v>
      </c>
      <c r="AE203" s="4">
        <v>43433.380162037036</v>
      </c>
      <c r="AF203" s="2">
        <v>1</v>
      </c>
      <c r="AG203" s="2">
        <v>1</v>
      </c>
      <c r="AH203" s="2">
        <v>2</v>
      </c>
      <c r="AI203" s="2" t="str">
        <f>"18002016910"</f>
        <v>18002016910</v>
      </c>
      <c r="AJ203" s="2">
        <v>69</v>
      </c>
      <c r="AK203" s="2">
        <v>10</v>
      </c>
      <c r="AL203" s="2" t="s">
        <v>119</v>
      </c>
      <c r="AM203" s="2" t="s">
        <v>120</v>
      </c>
      <c r="AN203" s="2">
        <v>1</v>
      </c>
      <c r="AO203" s="2">
        <v>7758</v>
      </c>
      <c r="AP203" s="2" t="s">
        <v>224</v>
      </c>
      <c r="AQ203" s="2"/>
      <c r="AR203" s="2" t="s">
        <v>330</v>
      </c>
      <c r="AS203" s="3" t="s">
        <v>331</v>
      </c>
      <c r="AT203" s="2" t="s">
        <v>117</v>
      </c>
      <c r="AU203" s="2" t="s">
        <v>117</v>
      </c>
      <c r="AV203" s="7">
        <v>72.349999999999994</v>
      </c>
      <c r="AW203" s="2">
        <v>3</v>
      </c>
      <c r="AX203" s="2"/>
      <c r="AY203" s="2"/>
    </row>
    <row r="204" spans="1:51" ht="18.75" customHeight="1">
      <c r="A204" t="str">
        <f>"1002201811261129541299"</f>
        <v>1002201811261129541299</v>
      </c>
      <c r="B204" s="9">
        <v>202</v>
      </c>
      <c r="C204" s="2" t="s">
        <v>56</v>
      </c>
      <c r="D204" s="2" t="str">
        <f>"李节"</f>
        <v>李节</v>
      </c>
      <c r="E204" s="2" t="str">
        <f>"女"</f>
        <v>女</v>
      </c>
      <c r="F204" s="2" t="str">
        <f>"1986-07-11"</f>
        <v>1986-07-11</v>
      </c>
      <c r="G204" s="2" t="str">
        <f>"32068219860711680X"</f>
        <v>32068219860711680X</v>
      </c>
      <c r="H204" s="2" t="str">
        <f>"如皋市搬经镇鞠桥居4组"</f>
        <v>如皋市搬经镇鞠桥居4组</v>
      </c>
      <c r="I204" s="2" t="str">
        <f t="shared" si="107"/>
        <v>非应届生</v>
      </c>
      <c r="J204" s="2" t="str">
        <f>"中级"</f>
        <v>中级</v>
      </c>
      <c r="K204" s="2" t="str">
        <f>"2009.07"</f>
        <v>2009.07</v>
      </c>
      <c r="L204" s="2" t="str">
        <f t="shared" si="118"/>
        <v>学士</v>
      </c>
      <c r="M204" s="2" t="str">
        <f>"南京中医药大学"</f>
        <v>南京中医药大学</v>
      </c>
      <c r="N204" s="2" t="str">
        <f>"中医学"</f>
        <v>中医学</v>
      </c>
      <c r="O204" s="2" t="str">
        <f t="shared" si="119"/>
        <v>本科</v>
      </c>
      <c r="P204" s="2" t="str">
        <f>"162cm"</f>
        <v>162cm</v>
      </c>
      <c r="Q204" s="2" t="str">
        <f>"搬经卫生所"</f>
        <v>搬经卫生所</v>
      </c>
      <c r="R204" s="2" t="str">
        <f>"2009.09"</f>
        <v>2009.09</v>
      </c>
      <c r="S204" s="2" t="str">
        <f>"搬经镇鞠桥居4组"</f>
        <v>搬经镇鞠桥居4组</v>
      </c>
      <c r="T204" s="2" t="str">
        <f t="shared" ref="T204:T209" si="122">"226500"</f>
        <v>226500</v>
      </c>
      <c r="U204" s="2" t="str">
        <f>"88504120"</f>
        <v>88504120</v>
      </c>
      <c r="V204" s="2" t="str">
        <f>"15962700099"</f>
        <v>15962700099</v>
      </c>
      <c r="W204" s="2" t="str">
        <f>"一般"</f>
        <v>一般</v>
      </c>
      <c r="X204" s="2" t="str">
        <f t="shared" si="120"/>
        <v>否</v>
      </c>
      <c r="Y204" s="2" t="str">
        <f>"一般"</f>
        <v>一般</v>
      </c>
      <c r="Z204" s="2" t="str">
        <f>"熟练"</f>
        <v>熟练</v>
      </c>
      <c r="AA204" s="2" t="str">
        <f>"父女|李昌圣|平安驾校|母女|王凤|农民|夫妻|倪丙日|搬经卫生所|||"</f>
        <v>父女|李昌圣|平安驾校|母女|王凤|农民|夫妻|倪丙日|搬经卫生所|||</v>
      </c>
      <c r="AB204" s="2" t="str">
        <f>"2000.09至2004.07城西中学_x000D_
2004.09至2009.07南京中医药大学_x000D_
2009.09至今搬经卫生所"</f>
        <v>2000.09至2004.07城西中学_x000D_
2004.09至2009.07南京中医药大学_x000D_
2009.09至今搬经卫生所</v>
      </c>
      <c r="AC204" s="2" t="str">
        <f>"2009.09至今在儿保门诊从事儿童保健工作"</f>
        <v>2009.09至今在儿保门诊从事儿童保健工作</v>
      </c>
      <c r="AD204" s="2" t="str">
        <f>""</f>
        <v/>
      </c>
      <c r="AE204" s="4">
        <v>43430.538854166669</v>
      </c>
      <c r="AF204" s="2">
        <v>1</v>
      </c>
      <c r="AG204" s="2">
        <v>1</v>
      </c>
      <c r="AH204" s="2">
        <v>3</v>
      </c>
      <c r="AI204" s="2" t="str">
        <f>"18002029417"</f>
        <v>18002029417</v>
      </c>
      <c r="AJ204" s="2">
        <v>94</v>
      </c>
      <c r="AK204" s="2">
        <v>17</v>
      </c>
      <c r="AL204" s="2" t="s">
        <v>42</v>
      </c>
      <c r="AM204" s="2" t="s">
        <v>43</v>
      </c>
      <c r="AN204" s="2">
        <v>2</v>
      </c>
      <c r="AO204" s="2">
        <v>3734</v>
      </c>
      <c r="AP204" s="2" t="s">
        <v>65</v>
      </c>
      <c r="AQ204" s="2"/>
      <c r="AR204" s="2" t="s">
        <v>105</v>
      </c>
      <c r="AS204" s="3" t="s">
        <v>110</v>
      </c>
      <c r="AT204" s="2">
        <v>79</v>
      </c>
      <c r="AU204" s="2" t="s">
        <v>117</v>
      </c>
      <c r="AV204" s="6">
        <f t="shared" ref="AV204:AV221" si="123">AT204</f>
        <v>79</v>
      </c>
      <c r="AW204" s="2">
        <v>1</v>
      </c>
      <c r="AX204" s="2"/>
      <c r="AY204" s="2"/>
    </row>
    <row r="205" spans="1:51" ht="18.75" customHeight="1">
      <c r="A205" t="str">
        <f>"100220181126090420177"</f>
        <v>100220181126090420177</v>
      </c>
      <c r="B205" s="9">
        <v>203</v>
      </c>
      <c r="C205" s="2" t="s">
        <v>56</v>
      </c>
      <c r="D205" s="2" t="str">
        <f>"陆良海"</f>
        <v>陆良海</v>
      </c>
      <c r="E205" s="2" t="str">
        <f>"男"</f>
        <v>男</v>
      </c>
      <c r="F205" s="2" t="str">
        <f>"1984-02-19"</f>
        <v>1984-02-19</v>
      </c>
      <c r="G205" s="2" t="str">
        <f>"320682198402190694"</f>
        <v>320682198402190694</v>
      </c>
      <c r="H205" s="2" t="str">
        <f>"江苏如皋"</f>
        <v>江苏如皋</v>
      </c>
      <c r="I205" s="2" t="str">
        <f t="shared" si="107"/>
        <v>非应届生</v>
      </c>
      <c r="J205" s="2" t="str">
        <f>"中医"</f>
        <v>中医</v>
      </c>
      <c r="K205" s="2" t="str">
        <f>"2008.06"</f>
        <v>2008.06</v>
      </c>
      <c r="L205" s="2" t="str">
        <f t="shared" si="118"/>
        <v>学士</v>
      </c>
      <c r="M205" s="2" t="str">
        <f>"南京中医药大学"</f>
        <v>南京中医药大学</v>
      </c>
      <c r="N205" s="2" t="str">
        <f>"中医学"</f>
        <v>中医学</v>
      </c>
      <c r="O205" s="2" t="str">
        <f t="shared" si="119"/>
        <v>本科</v>
      </c>
      <c r="P205" s="2" t="str">
        <f>"170"</f>
        <v>170</v>
      </c>
      <c r="Q205" s="2" t="str">
        <f>"如皋市石庄镇卫生所"</f>
        <v>如皋市石庄镇卫生所</v>
      </c>
      <c r="R205" s="2" t="str">
        <f>"2008.07"</f>
        <v>2008.07</v>
      </c>
      <c r="S205" s="2" t="str">
        <f>"江苏省如皋市城北街道柴湾居委会9组"</f>
        <v>江苏省如皋市城北街道柴湾居委会9组</v>
      </c>
      <c r="T205" s="2" t="str">
        <f t="shared" si="122"/>
        <v>226500</v>
      </c>
      <c r="U205" s="2" t="str">
        <f>"0513-87828780"</f>
        <v>0513-87828780</v>
      </c>
      <c r="V205" s="2" t="str">
        <f>"15152876719"</f>
        <v>15152876719</v>
      </c>
      <c r="W205" s="2" t="str">
        <f>"无"</f>
        <v>无</v>
      </c>
      <c r="X205" s="2" t="str">
        <f t="shared" si="120"/>
        <v>否</v>
      </c>
      <c r="Y205" s="2" t="str">
        <f>"英语4级"</f>
        <v>英语4级</v>
      </c>
      <c r="Z205" s="2" t="str">
        <f>"江苏省二级"</f>
        <v>江苏省二级</v>
      </c>
      <c r="AA205" s="2" t="str">
        <f>"母亲|张德凤|务农|父亲|陆胡生|务农||||||"</f>
        <v>母亲|张德凤|务农|父亲|陆胡生|务农||||||</v>
      </c>
      <c r="AB205" s="2" t="str">
        <f>"2000.09-2003.06 江苏省如皋市白蒲高级中学_x000D_
2003.09-2008.06 南京中医药大学_x000D_
2008.07-2015.09 如皋广慈医院（原如皋城西医院）_x000D_
2015.10至今 如皋市石庄镇卫生所（儿童保健）"</f>
        <v>2000.09-2003.06 江苏省如皋市白蒲高级中学_x000D_
2003.09-2008.06 南京中医药大学_x000D_
2008.07-2015.09 如皋广慈医院（原如皋城西医院）_x000D_
2015.10至今 如皋市石庄镇卫生所（儿童保健）</v>
      </c>
      <c r="AC205" s="2" t="str">
        <f>"2015.10在如皋市石庄镇卫生所至今一直从事儿童保健工作"</f>
        <v>2015.10在如皋市石庄镇卫生所至今一直从事儿童保健工作</v>
      </c>
      <c r="AD205" s="2" t="str">
        <f>""</f>
        <v/>
      </c>
      <c r="AE205" s="4">
        <v>43431.607557870368</v>
      </c>
      <c r="AF205" s="2">
        <v>1</v>
      </c>
      <c r="AG205" s="2">
        <v>1</v>
      </c>
      <c r="AH205" s="2">
        <v>1</v>
      </c>
      <c r="AI205" s="2" t="str">
        <f>"18002029415"</f>
        <v>18002029415</v>
      </c>
      <c r="AJ205" s="2">
        <v>94</v>
      </c>
      <c r="AK205" s="2">
        <v>15</v>
      </c>
      <c r="AL205" s="2" t="s">
        <v>42</v>
      </c>
      <c r="AM205" s="2" t="s">
        <v>43</v>
      </c>
      <c r="AN205" s="2">
        <v>2</v>
      </c>
      <c r="AO205" s="2">
        <v>2689</v>
      </c>
      <c r="AP205" s="2" t="s">
        <v>86</v>
      </c>
      <c r="AQ205" s="2"/>
      <c r="AR205" s="2" t="s">
        <v>105</v>
      </c>
      <c r="AS205" s="3" t="s">
        <v>114</v>
      </c>
      <c r="AT205" s="2">
        <v>65.5</v>
      </c>
      <c r="AU205" s="2" t="s">
        <v>117</v>
      </c>
      <c r="AV205" s="6">
        <f t="shared" si="123"/>
        <v>65.5</v>
      </c>
      <c r="AW205" s="2">
        <v>2</v>
      </c>
      <c r="AX205" s="2"/>
      <c r="AY205" s="2"/>
    </row>
    <row r="206" spans="1:51" ht="18.75" customHeight="1">
      <c r="A206" t="str">
        <f>"1002201811261202521432"</f>
        <v>1002201811261202521432</v>
      </c>
      <c r="B206" s="9">
        <v>204</v>
      </c>
      <c r="C206" s="2" t="s">
        <v>60</v>
      </c>
      <c r="D206" s="2" t="str">
        <f>"王静"</f>
        <v>王静</v>
      </c>
      <c r="E206" s="2" t="str">
        <f t="shared" ref="E206:E208" si="124">"女"</f>
        <v>女</v>
      </c>
      <c r="F206" s="2" t="str">
        <f>"1986-12-06"</f>
        <v>1986-12-06</v>
      </c>
      <c r="G206" s="2" t="str">
        <f>"32132319861206472X"</f>
        <v>32132319861206472X</v>
      </c>
      <c r="H206" s="2" t="str">
        <f>"江苏省如皋市如城街道纪庄村三组"</f>
        <v>江苏省如皋市如城街道纪庄村三组</v>
      </c>
      <c r="I206" s="2" t="str">
        <f t="shared" si="107"/>
        <v>非应届生</v>
      </c>
      <c r="J206" s="2" t="str">
        <f>"中级"</f>
        <v>中级</v>
      </c>
      <c r="K206" s="2" t="str">
        <f>"2010.06"</f>
        <v>2010.06</v>
      </c>
      <c r="L206" s="2" t="str">
        <f t="shared" si="118"/>
        <v>学士</v>
      </c>
      <c r="M206" s="2" t="str">
        <f>"扬州大学医学院"</f>
        <v>扬州大学医学院</v>
      </c>
      <c r="N206" s="2" t="str">
        <f>"临床医学"</f>
        <v>临床医学</v>
      </c>
      <c r="O206" s="2" t="str">
        <f t="shared" si="119"/>
        <v>本科</v>
      </c>
      <c r="P206" s="2" t="str">
        <f>"155"</f>
        <v>155</v>
      </c>
      <c r="Q206" s="2" t="str">
        <f>"如皋市东陈镇卫生所"</f>
        <v>如皋市东陈镇卫生所</v>
      </c>
      <c r="R206" s="2" t="str">
        <f>"2010.07"</f>
        <v>2010.07</v>
      </c>
      <c r="S206" s="2" t="str">
        <f>"江苏省如皋市如城街道纪庄村三组"</f>
        <v>江苏省如皋市如城街道纪庄村三组</v>
      </c>
      <c r="T206" s="2" t="str">
        <f t="shared" si="122"/>
        <v>226500</v>
      </c>
      <c r="U206" s="2" t="str">
        <f>"68763903"</f>
        <v>68763903</v>
      </c>
      <c r="V206" s="2" t="str">
        <f>"13773777025"</f>
        <v>13773777025</v>
      </c>
      <c r="W206" s="2" t="str">
        <f>"二级乙等"</f>
        <v>二级乙等</v>
      </c>
      <c r="X206" s="2" t="str">
        <f t="shared" si="120"/>
        <v>否</v>
      </c>
      <c r="Y206" s="2" t="str">
        <f>"英语六级"</f>
        <v>英语六级</v>
      </c>
      <c r="Z206" s="2" t="str">
        <f>"计算机二级"</f>
        <v>计算机二级</v>
      </c>
      <c r="AA206" s="2" t="str">
        <f>"夫妻|许金金|江苏逸佳冷暖工程有限公司|||||||||"</f>
        <v>夫妻|许金金|江苏逸佳冷暖工程有限公司|||||||||</v>
      </c>
      <c r="AB206" s="2" t="str">
        <f>"2002.09-2005.07 江苏省泗阳中学  学生_x000D_
2005.09-2010.06 扬州大学医学院临床医学专业   学生_x000D_
2010.07-2013.03  如皋市雪岸镇卫生所   职员_x000D_
2013.04- 至今    如皋市东陈镇卫生所   职员"</f>
        <v>2002.09-2005.07 江苏省泗阳中学  学生_x000D_
2005.09-2010.06 扬州大学医学院临床医学专业   学生_x000D_
2010.07-2013.03  如皋市雪岸镇卫生所   职员_x000D_
2013.04- 至今    如皋市东陈镇卫生所   职员</v>
      </c>
      <c r="AC206" s="2" t="str">
        <f>"2016.10取得全科医生规范化培训合格证书，从事儿童保健工作4年"</f>
        <v>2016.10取得全科医生规范化培训合格证书，从事儿童保健工作4年</v>
      </c>
      <c r="AD206" s="2" t="str">
        <f>""</f>
        <v/>
      </c>
      <c r="AE206" s="4">
        <v>43434.409629629627</v>
      </c>
      <c r="AF206" s="2">
        <v>1</v>
      </c>
      <c r="AG206" s="2">
        <v>1</v>
      </c>
      <c r="AH206" s="2">
        <v>1</v>
      </c>
      <c r="AI206" s="2" t="str">
        <f>"18002029509"</f>
        <v>18002029509</v>
      </c>
      <c r="AJ206" s="2">
        <v>95</v>
      </c>
      <c r="AK206" s="2">
        <v>9</v>
      </c>
      <c r="AL206" s="2" t="s">
        <v>42</v>
      </c>
      <c r="AM206" s="2" t="s">
        <v>43</v>
      </c>
      <c r="AN206" s="2">
        <v>2</v>
      </c>
      <c r="AO206" s="2">
        <v>3337</v>
      </c>
      <c r="AP206" s="2" t="s">
        <v>94</v>
      </c>
      <c r="AQ206" s="2"/>
      <c r="AR206" s="2" t="s">
        <v>106</v>
      </c>
      <c r="AS206" s="3" t="s">
        <v>115</v>
      </c>
      <c r="AT206" s="2">
        <v>75</v>
      </c>
      <c r="AU206" s="2" t="s">
        <v>117</v>
      </c>
      <c r="AV206" s="6">
        <f t="shared" si="123"/>
        <v>75</v>
      </c>
      <c r="AW206" s="2">
        <v>1</v>
      </c>
      <c r="AX206" s="2"/>
      <c r="AY206" s="2"/>
    </row>
    <row r="207" spans="1:51" ht="18.75" customHeight="1">
      <c r="A207" t="str">
        <f>"1002201811261528312070"</f>
        <v>1002201811261528312070</v>
      </c>
      <c r="B207" s="9">
        <v>205</v>
      </c>
      <c r="C207" s="2" t="s">
        <v>60</v>
      </c>
      <c r="D207" s="2" t="str">
        <f>"张敏"</f>
        <v>张敏</v>
      </c>
      <c r="E207" s="2" t="str">
        <f t="shared" si="124"/>
        <v>女</v>
      </c>
      <c r="F207" s="2" t="str">
        <f>"1990-01-22"</f>
        <v>1990-01-22</v>
      </c>
      <c r="G207" s="2" t="str">
        <f>"320682199001223920"</f>
        <v>320682199001223920</v>
      </c>
      <c r="H207" s="2" t="str">
        <f>"江苏如皋"</f>
        <v>江苏如皋</v>
      </c>
      <c r="I207" s="2" t="str">
        <f t="shared" si="107"/>
        <v>非应届生</v>
      </c>
      <c r="J207" s="2" t="str">
        <f>"儿科住院医师"</f>
        <v>儿科住院医师</v>
      </c>
      <c r="K207" s="2" t="str">
        <f>"2013.06"</f>
        <v>2013.06</v>
      </c>
      <c r="L207" s="2" t="str">
        <f t="shared" si="118"/>
        <v>学士</v>
      </c>
      <c r="M207" s="2" t="str">
        <f>"扬州大学"</f>
        <v>扬州大学</v>
      </c>
      <c r="N207" s="2" t="str">
        <f>"临床医学"</f>
        <v>临床医学</v>
      </c>
      <c r="O207" s="2" t="str">
        <f t="shared" si="119"/>
        <v>本科</v>
      </c>
      <c r="P207" s="2" t="str">
        <f>"168"</f>
        <v>168</v>
      </c>
      <c r="Q207" s="2" t="str">
        <f>"如皋市人民医院"</f>
        <v>如皋市人民医院</v>
      </c>
      <c r="R207" s="2" t="str">
        <f>"2013.07"</f>
        <v>2013.07</v>
      </c>
      <c r="S207" s="2" t="str">
        <f>"江苏省如皋市如城街道金地城邦9-1702"</f>
        <v>江苏省如皋市如城街道金地城邦9-1702</v>
      </c>
      <c r="T207" s="2" t="str">
        <f t="shared" si="122"/>
        <v>226500</v>
      </c>
      <c r="U207" s="2" t="str">
        <f>"18015916831"</f>
        <v>18015916831</v>
      </c>
      <c r="V207" s="2" t="str">
        <f>"18020190969"</f>
        <v>18020190969</v>
      </c>
      <c r="W207" s="2" t="str">
        <f>"无"</f>
        <v>无</v>
      </c>
      <c r="X207" s="2" t="str">
        <f t="shared" si="120"/>
        <v>否</v>
      </c>
      <c r="Y207" s="2" t="str">
        <f>"六级"</f>
        <v>六级</v>
      </c>
      <c r="Z207" s="2" t="str">
        <f>"二级"</f>
        <v>二级</v>
      </c>
      <c r="AA207" s="2" t="str">
        <f>"夫妻|冒苏敏|如皋电信|||||||||"</f>
        <v>夫妻|冒苏敏|如皋电信|||||||||</v>
      </c>
      <c r="AB207" s="2" t="str">
        <f>"2005.09-2008.06 如皋市石庄中学 学生_x000D_
2008.09-2013.06 扬州大学医学院临床医学专业 学生_x000D_
2013.07至今 如皋市人民医师儿科 住院医师"</f>
        <v>2005.09-2008.06 如皋市石庄中学 学生_x000D_
2008.09-2013.06 扬州大学医学院临床医学专业 学生_x000D_
2013.07至今 如皋市人民医师儿科 住院医师</v>
      </c>
      <c r="AC207" s="2" t="str">
        <f>"已有三年以上儿科工作经历，已取得儿科住院医师规范化培训证书"</f>
        <v>已有三年以上儿科工作经历，已取得儿科住院医师规范化培训证书</v>
      </c>
      <c r="AD207" s="2" t="str">
        <f>""</f>
        <v/>
      </c>
      <c r="AE207" s="4">
        <v>43431.382974537039</v>
      </c>
      <c r="AF207" s="2">
        <v>1</v>
      </c>
      <c r="AG207" s="2">
        <v>1</v>
      </c>
      <c r="AH207" s="2">
        <v>4</v>
      </c>
      <c r="AI207" s="2" t="str">
        <f>"18002029508"</f>
        <v>18002029508</v>
      </c>
      <c r="AJ207" s="2">
        <v>95</v>
      </c>
      <c r="AK207" s="2">
        <v>8</v>
      </c>
      <c r="AL207" s="2" t="s">
        <v>42</v>
      </c>
      <c r="AM207" s="2" t="s">
        <v>43</v>
      </c>
      <c r="AN207" s="2">
        <v>2</v>
      </c>
      <c r="AO207" s="2">
        <v>1280</v>
      </c>
      <c r="AP207" s="2" t="s">
        <v>82</v>
      </c>
      <c r="AQ207" s="2"/>
      <c r="AR207" s="2" t="s">
        <v>106</v>
      </c>
      <c r="AS207" s="3" t="s">
        <v>115</v>
      </c>
      <c r="AT207" s="2">
        <v>74.5</v>
      </c>
      <c r="AU207" s="2" t="s">
        <v>117</v>
      </c>
      <c r="AV207" s="6">
        <f t="shared" si="123"/>
        <v>74.5</v>
      </c>
      <c r="AW207" s="2">
        <v>2</v>
      </c>
      <c r="AX207" s="2"/>
      <c r="AY207" s="2"/>
    </row>
    <row r="208" spans="1:51" ht="18.75" customHeight="1">
      <c r="A208" t="str">
        <f>"1002201811292009476316"</f>
        <v>1002201811292009476316</v>
      </c>
      <c r="B208" s="9">
        <v>206</v>
      </c>
      <c r="C208" s="2" t="s">
        <v>60</v>
      </c>
      <c r="D208" s="2" t="str">
        <f>"施克芸"</f>
        <v>施克芸</v>
      </c>
      <c r="E208" s="2" t="str">
        <f t="shared" si="124"/>
        <v>女</v>
      </c>
      <c r="F208" s="2" t="str">
        <f>"1987-07-07"</f>
        <v>1987-07-07</v>
      </c>
      <c r="G208" s="2" t="str">
        <f>"32068219870707140X"</f>
        <v>32068219870707140X</v>
      </c>
      <c r="H208" s="2" t="str">
        <f>"江苏"</f>
        <v>江苏</v>
      </c>
      <c r="I208" s="2" t="str">
        <f t="shared" si="107"/>
        <v>非应届生</v>
      </c>
      <c r="J208" s="2" t="str">
        <f>"执业医师"</f>
        <v>执业医师</v>
      </c>
      <c r="K208" s="2" t="str">
        <f>"2010.06"</f>
        <v>2010.06</v>
      </c>
      <c r="L208" s="2" t="str">
        <f t="shared" si="118"/>
        <v>学士</v>
      </c>
      <c r="M208" s="2" t="str">
        <f>"海南医学院"</f>
        <v>海南医学院</v>
      </c>
      <c r="N208" s="2" t="str">
        <f>"临床"</f>
        <v>临床</v>
      </c>
      <c r="O208" s="2" t="str">
        <f t="shared" si="119"/>
        <v>本科</v>
      </c>
      <c r="P208" s="2" t="str">
        <f>"155"</f>
        <v>155</v>
      </c>
      <c r="Q208" s="2" t="str">
        <f>"如皋经济技术开发区卫生所"</f>
        <v>如皋经济技术开发区卫生所</v>
      </c>
      <c r="R208" s="2" t="str">
        <f>"2011.08"</f>
        <v>2011.08</v>
      </c>
      <c r="S208" s="2" t="str">
        <f>"如皋市东陈镇冯堡村十三组17号"</f>
        <v>如皋市东陈镇冯堡村十三组17号</v>
      </c>
      <c r="T208" s="2" t="str">
        <f t="shared" si="122"/>
        <v>226500</v>
      </c>
      <c r="U208" s="2" t="str">
        <f>"无"</f>
        <v>无</v>
      </c>
      <c r="V208" s="2" t="str">
        <f>"15951385441"</f>
        <v>15951385441</v>
      </c>
      <c r="W208" s="2" t="str">
        <f>"无"</f>
        <v>无</v>
      </c>
      <c r="X208" s="2" t="str">
        <f t="shared" si="120"/>
        <v>否</v>
      </c>
      <c r="Y208" s="2" t="str">
        <f>"四级"</f>
        <v>四级</v>
      </c>
      <c r="Z208" s="2" t="str">
        <f>"二级"</f>
        <v>二级</v>
      </c>
      <c r="AA208" s="2" t="str">
        <f>"爸爸|施正宽|无|妈妈|冒爱琴|无||||||"</f>
        <v>爸爸|施正宽|无|妈妈|冒爱琴|无||||||</v>
      </c>
      <c r="AB208" s="2" t="str">
        <f>"2002.09-2005.06 如皋白蒲高级中学 学生_x000D_
2005.09-2010.06 海南医学院  学生_x000D_
2011.01-2011.08 如皋博爱医院  职员_x000D_
2011.08至今 如皋经济技术开发区卫生所  儿童保健"</f>
        <v>2002.09-2005.06 如皋白蒲高级中学 学生_x000D_
2005.09-2010.06 海南医学院  学生_x000D_
2011.01-2011.08 如皋博爱医院  职员_x000D_
2011.08至今 如皋经济技术开发区卫生所  儿童保健</v>
      </c>
      <c r="AC208" s="2" t="str">
        <f>"2017年取得全科医生规范化培训合格证_x000D_
从事儿童保健工作7年"</f>
        <v>2017年取得全科医生规范化培训合格证_x000D_
从事儿童保健工作7年</v>
      </c>
      <c r="AD208" s="2" t="str">
        <f>""</f>
        <v/>
      </c>
      <c r="AE208" s="4">
        <v>43430.693749999999</v>
      </c>
      <c r="AF208" s="2">
        <v>1</v>
      </c>
      <c r="AG208" s="2">
        <v>1</v>
      </c>
      <c r="AH208" s="2">
        <v>2</v>
      </c>
      <c r="AI208" s="2" t="str">
        <f>"18002029513"</f>
        <v>18002029513</v>
      </c>
      <c r="AJ208" s="2">
        <v>95</v>
      </c>
      <c r="AK208" s="2">
        <v>13</v>
      </c>
      <c r="AL208" s="2" t="s">
        <v>42</v>
      </c>
      <c r="AM208" s="2" t="s">
        <v>43</v>
      </c>
      <c r="AN208" s="2">
        <v>2</v>
      </c>
      <c r="AO208" s="2">
        <v>6873</v>
      </c>
      <c r="AP208" s="2" t="s">
        <v>76</v>
      </c>
      <c r="AQ208" s="2"/>
      <c r="AR208" s="2" t="s">
        <v>106</v>
      </c>
      <c r="AS208" s="3" t="s">
        <v>111</v>
      </c>
      <c r="AT208" s="2">
        <v>74</v>
      </c>
      <c r="AU208" s="2" t="s">
        <v>117</v>
      </c>
      <c r="AV208" s="6">
        <f t="shared" si="123"/>
        <v>74</v>
      </c>
      <c r="AW208" s="2">
        <v>3</v>
      </c>
      <c r="AX208" s="2"/>
      <c r="AY208" s="2"/>
    </row>
    <row r="209" spans="1:51" ht="18.75" customHeight="1">
      <c r="A209" t="str">
        <f>"1002201811261722562374"</f>
        <v>1002201811261722562374</v>
      </c>
      <c r="B209" s="9">
        <v>207</v>
      </c>
      <c r="C209" s="2" t="s">
        <v>64</v>
      </c>
      <c r="D209" s="2" t="str">
        <f>"张扬"</f>
        <v>张扬</v>
      </c>
      <c r="E209" s="2" t="str">
        <f t="shared" ref="E209:E215" si="125">"男"</f>
        <v>男</v>
      </c>
      <c r="F209" s="2" t="str">
        <f>"1990-07-25"</f>
        <v>1990-07-25</v>
      </c>
      <c r="G209" s="2" t="str">
        <f>"320682199007255333"</f>
        <v>320682199007255333</v>
      </c>
      <c r="H209" s="2" t="str">
        <f>"江苏省如皋市长江镇"</f>
        <v>江苏省如皋市长江镇</v>
      </c>
      <c r="I209" s="2" t="str">
        <f t="shared" si="107"/>
        <v>非应届生</v>
      </c>
      <c r="J209" s="2" t="str">
        <f>"职业医师"</f>
        <v>职业医师</v>
      </c>
      <c r="K209" s="2" t="str">
        <f>"2014-06-30"</f>
        <v>2014-06-30</v>
      </c>
      <c r="L209" s="2" t="str">
        <f t="shared" si="118"/>
        <v>学士</v>
      </c>
      <c r="M209" s="2" t="str">
        <f>"南通大学"</f>
        <v>南通大学</v>
      </c>
      <c r="N209" s="2" t="str">
        <f t="shared" ref="N209:N212" si="126">"临床医学"</f>
        <v>临床医学</v>
      </c>
      <c r="O209" s="2" t="str">
        <f t="shared" si="119"/>
        <v>本科</v>
      </c>
      <c r="P209" s="2" t="str">
        <f>"170"</f>
        <v>170</v>
      </c>
      <c r="Q209" s="2" t="str">
        <f>"如皋港人民医院"</f>
        <v>如皋港人民医院</v>
      </c>
      <c r="R209" s="2" t="str">
        <f>"2014-07-01"</f>
        <v>2014-07-01</v>
      </c>
      <c r="S209" s="2" t="str">
        <f>"江苏省如皋市长江镇"</f>
        <v>江苏省如皋市长江镇</v>
      </c>
      <c r="T209" s="2" t="str">
        <f t="shared" si="122"/>
        <v>226500</v>
      </c>
      <c r="U209" s="2" t="str">
        <f>"87588578"</f>
        <v>87588578</v>
      </c>
      <c r="V209" s="2" t="str">
        <f>"13921453396"</f>
        <v>13921453396</v>
      </c>
      <c r="W209" s="2" t="str">
        <f>"二级"</f>
        <v>二级</v>
      </c>
      <c r="X209" s="2" t="str">
        <f t="shared" si="120"/>
        <v>否</v>
      </c>
      <c r="Y209" s="2" t="str">
        <f>"二级"</f>
        <v>二级</v>
      </c>
      <c r="Z209" s="2" t="str">
        <f>"一级"</f>
        <v>一级</v>
      </c>
      <c r="AA209" s="2" t="str">
        <f>"妻子|杨丹丹|如皋市港城实验学校初中部|||||||||"</f>
        <v>妻子|杨丹丹|如皋市港城实验学校初中部|||||||||</v>
      </c>
      <c r="AB209" s="2" t="str">
        <f>"2006.09-2009.06 如皋市石庄中学 学生_x000D_
2009.09-2014.06 南通大学医学院临床医学 学生_x000D_
2014.07至今 如皋市如皋港人民医院 职员"</f>
        <v>2006.09-2009.06 如皋市石庄中学 学生_x000D_
2009.09-2014.06 南通大学医学院临床医学 学生_x000D_
2014.07至今 如皋市如皋港人民医院 职员</v>
      </c>
      <c r="AC209" s="2" t="str">
        <f>"2017.06取得职业医师资格"</f>
        <v>2017.06取得职业医师资格</v>
      </c>
      <c r="AD209" s="2" t="str">
        <f>""</f>
        <v/>
      </c>
      <c r="AE209" s="4">
        <v>43432.601168981484</v>
      </c>
      <c r="AF209" s="2">
        <v>1</v>
      </c>
      <c r="AG209" s="2">
        <v>1</v>
      </c>
      <c r="AH209" s="2">
        <v>3</v>
      </c>
      <c r="AI209" s="2" t="str">
        <f>"18002029528"</f>
        <v>18002029528</v>
      </c>
      <c r="AJ209" s="2">
        <v>95</v>
      </c>
      <c r="AK209" s="2">
        <v>28</v>
      </c>
      <c r="AL209" s="2" t="s">
        <v>42</v>
      </c>
      <c r="AM209" s="2" t="s">
        <v>43</v>
      </c>
      <c r="AN209" s="2">
        <v>2</v>
      </c>
      <c r="AO209" s="2">
        <v>9262</v>
      </c>
      <c r="AP209" s="2" t="s">
        <v>92</v>
      </c>
      <c r="AQ209" s="2"/>
      <c r="AR209" s="2" t="s">
        <v>106</v>
      </c>
      <c r="AS209" s="3" t="s">
        <v>111</v>
      </c>
      <c r="AT209" s="2">
        <v>77.5</v>
      </c>
      <c r="AU209" s="2" t="s">
        <v>117</v>
      </c>
      <c r="AV209" s="6">
        <f t="shared" si="123"/>
        <v>77.5</v>
      </c>
      <c r="AW209" s="2">
        <v>1</v>
      </c>
      <c r="AX209" s="2"/>
      <c r="AY209" s="2"/>
    </row>
    <row r="210" spans="1:51" ht="18.75" customHeight="1">
      <c r="A210" t="str">
        <f>"100220181126090326161"</f>
        <v>100220181126090326161</v>
      </c>
      <c r="B210" s="9">
        <v>208</v>
      </c>
      <c r="C210" s="2" t="s">
        <v>64</v>
      </c>
      <c r="D210" s="2" t="str">
        <f>"陈志兵"</f>
        <v>陈志兵</v>
      </c>
      <c r="E210" s="2" t="str">
        <f t="shared" si="125"/>
        <v>男</v>
      </c>
      <c r="F210" s="2" t="str">
        <f>"1981-02-25"</f>
        <v>1981-02-25</v>
      </c>
      <c r="G210" s="2" t="str">
        <f>"320682198102254510"</f>
        <v>320682198102254510</v>
      </c>
      <c r="H210" s="2" t="str">
        <f>"如皋市长江镇二案居"</f>
        <v>如皋市长江镇二案居</v>
      </c>
      <c r="I210" s="2" t="str">
        <f t="shared" si="107"/>
        <v>非应届生</v>
      </c>
      <c r="J210" s="2" t="str">
        <f>"中级"</f>
        <v>中级</v>
      </c>
      <c r="K210" s="2" t="str">
        <f>"2005.07"</f>
        <v>2005.07</v>
      </c>
      <c r="L210" s="2" t="str">
        <f t="shared" si="118"/>
        <v>学士</v>
      </c>
      <c r="M210" s="2" t="str">
        <f>"南通大学"</f>
        <v>南通大学</v>
      </c>
      <c r="N210" s="2" t="str">
        <f t="shared" si="126"/>
        <v>临床医学</v>
      </c>
      <c r="O210" s="2" t="str">
        <f t="shared" si="119"/>
        <v>本科</v>
      </c>
      <c r="P210" s="2" t="str">
        <f>"165"</f>
        <v>165</v>
      </c>
      <c r="Q210" s="2" t="str">
        <f>"如皋港人民医院"</f>
        <v>如皋港人民医院</v>
      </c>
      <c r="R210" s="2" t="str">
        <f>"2005.08"</f>
        <v>2005.08</v>
      </c>
      <c r="S210" s="2" t="str">
        <f>"如皋市长江镇如皋港人民医院"</f>
        <v>如皋市长江镇如皋港人民医院</v>
      </c>
      <c r="T210" s="2" t="str">
        <f>"226532"</f>
        <v>226532</v>
      </c>
      <c r="U210" s="2" t="str">
        <f>"80552973"</f>
        <v>80552973</v>
      </c>
      <c r="V210" s="2" t="str">
        <f>"13485146795"</f>
        <v>13485146795</v>
      </c>
      <c r="W210" s="2" t="str">
        <f>"二级甲等"</f>
        <v>二级甲等</v>
      </c>
      <c r="X210" s="2" t="str">
        <f t="shared" si="120"/>
        <v>否</v>
      </c>
      <c r="Y210" s="2" t="str">
        <f>"熟练"</f>
        <v>熟练</v>
      </c>
      <c r="Z210" s="2" t="str">
        <f>"二级"</f>
        <v>二级</v>
      </c>
      <c r="AA210" s="2" t="str">
        <f>"配偶|姜云|江苏省石庄高级中学|父亲|陈忠建|无||||||"</f>
        <v>配偶|姜云|江苏省石庄高级中学|父亲|陈忠建|无||||||</v>
      </c>
      <c r="AB210" s="2" t="str">
        <f>"1996.09-2000.07 如皋市二案中学 学生_x000D_
2000.09-2005.07 南通大学 学生_x000D_
2005.08-2011.12 如皋市磨头中兴医院 临床医生_x000D_
2012.01至今 如皋港人民医院 临床医生、医务科副科长_x000D_
2012.05-2013.04 解放军101医院神经外科进修"</f>
        <v>1996.09-2000.07 如皋市二案中学 学生_x000D_
2000.09-2005.07 南通大学 学生_x000D_
2005.08-2011.12 如皋市磨头中兴医院 临床医生_x000D_
2012.01至今 如皋港人民医院 临床医生、医务科副科长_x000D_
2012.05-2013.04 解放军101医院神经外科进修</v>
      </c>
      <c r="AC210" s="2" t="str">
        <f>"2008年取得全科医师资格证_x000D_
2013年取得中级（主治）职称_x000D_
2016年兼医务科副科长"</f>
        <v>2008年取得全科医师资格证_x000D_
2013年取得中级（主治）职称_x000D_
2016年兼医务科副科长</v>
      </c>
      <c r="AD210" s="2" t="str">
        <f>"2015年参加“市紧急医学救援院前急救应急处理能力技能竞赛”获二等奖。能熟练处理基层医院常见疾病。_x000D_
2016年参加基层卫生岗位练兵和技能竞赛获优秀奖。"</f>
        <v>2015年参加“市紧急医学救援院前急救应急处理能力技能竞赛”获二等奖。能熟练处理基层医院常见疾病。_x000D_
2016年参加基层卫生岗位练兵和技能竞赛获优秀奖。</v>
      </c>
      <c r="AE210" s="4">
        <v>43434.410949074074</v>
      </c>
      <c r="AF210" s="2">
        <v>1</v>
      </c>
      <c r="AG210" s="2">
        <v>1</v>
      </c>
      <c r="AH210" s="2">
        <v>1</v>
      </c>
      <c r="AI210" s="2" t="str">
        <f>"18002029520"</f>
        <v>18002029520</v>
      </c>
      <c r="AJ210" s="2">
        <v>95</v>
      </c>
      <c r="AK210" s="2">
        <v>20</v>
      </c>
      <c r="AL210" s="2" t="s">
        <v>42</v>
      </c>
      <c r="AM210" s="2" t="s">
        <v>43</v>
      </c>
      <c r="AN210" s="2">
        <v>2</v>
      </c>
      <c r="AO210" s="2">
        <v>4198</v>
      </c>
      <c r="AP210" s="2" t="s">
        <v>93</v>
      </c>
      <c r="AQ210" s="2"/>
      <c r="AR210" s="2" t="s">
        <v>106</v>
      </c>
      <c r="AS210" s="3" t="s">
        <v>111</v>
      </c>
      <c r="AT210" s="2">
        <v>75.5</v>
      </c>
      <c r="AU210" s="2" t="s">
        <v>117</v>
      </c>
      <c r="AV210" s="6">
        <f t="shared" si="123"/>
        <v>75.5</v>
      </c>
      <c r="AW210" s="2">
        <v>2</v>
      </c>
      <c r="AX210" s="2"/>
      <c r="AY210" s="2"/>
    </row>
    <row r="211" spans="1:51" ht="18.75" customHeight="1">
      <c r="A211" t="str">
        <f>"1002201811261500161997"</f>
        <v>1002201811261500161997</v>
      </c>
      <c r="B211" s="9">
        <v>209</v>
      </c>
      <c r="C211" s="2" t="s">
        <v>64</v>
      </c>
      <c r="D211" s="2" t="str">
        <f>"黄欣"</f>
        <v>黄欣</v>
      </c>
      <c r="E211" s="2" t="str">
        <f t="shared" si="125"/>
        <v>男</v>
      </c>
      <c r="F211" s="2" t="str">
        <f>"1991-08-18"</f>
        <v>1991-08-18</v>
      </c>
      <c r="G211" s="2" t="str">
        <f>"320682199108185610"</f>
        <v>320682199108185610</v>
      </c>
      <c r="H211" s="2" t="str">
        <f>"江苏省如皋市江安镇"</f>
        <v>江苏省如皋市江安镇</v>
      </c>
      <c r="I211" s="2" t="str">
        <f t="shared" si="107"/>
        <v>非应届生</v>
      </c>
      <c r="J211" s="2" t="str">
        <f>"住院医师"</f>
        <v>住院医师</v>
      </c>
      <c r="K211" s="2" t="str">
        <f>"2014.06"</f>
        <v>2014.06</v>
      </c>
      <c r="L211" s="2" t="str">
        <f t="shared" si="118"/>
        <v>学士</v>
      </c>
      <c r="M211" s="2" t="str">
        <f>"南通大学"</f>
        <v>南通大学</v>
      </c>
      <c r="N211" s="2" t="str">
        <f t="shared" si="126"/>
        <v>临床医学</v>
      </c>
      <c r="O211" s="2" t="str">
        <f t="shared" si="119"/>
        <v>本科</v>
      </c>
      <c r="P211" s="2" t="str">
        <f>"170"</f>
        <v>170</v>
      </c>
      <c r="Q211" s="2" t="str">
        <f>"如皋港人民医院"</f>
        <v>如皋港人民医院</v>
      </c>
      <c r="R211" s="2" t="str">
        <f>"2014.07"</f>
        <v>2014.07</v>
      </c>
      <c r="S211" s="2" t="str">
        <f>"如皋市江安镇"</f>
        <v>如皋市江安镇</v>
      </c>
      <c r="T211" s="2" t="str">
        <f>"226500"</f>
        <v>226500</v>
      </c>
      <c r="U211" s="2" t="str">
        <f>"15190887175"</f>
        <v>15190887175</v>
      </c>
      <c r="V211" s="2" t="str">
        <f>"15190887175"</f>
        <v>15190887175</v>
      </c>
      <c r="W211" s="2" t="str">
        <f>"无"</f>
        <v>无</v>
      </c>
      <c r="X211" s="2" t="str">
        <f t="shared" si="120"/>
        <v>否</v>
      </c>
      <c r="Y211" s="2" t="str">
        <f>"四级"</f>
        <v>四级</v>
      </c>
      <c r="Z211" s="2" t="str">
        <f>"二级"</f>
        <v>二级</v>
      </c>
      <c r="AA211" s="2" t="str">
        <f>"母亲|陈照莲|南通纺织厂|||||||||"</f>
        <v>母亲|陈照莲|南通纺织厂|||||||||</v>
      </c>
      <c r="AB211" s="2" t="str">
        <f>"2006.09_2009.06如皋江安中学_x000D_
2009.09到2014.06南通大学医学院_x000D_
2014.07至今如皋港人民医院外科住院医师"</f>
        <v>2006.09_2009.06如皋江安中学_x000D_
2009.09到2014.06南通大学医学院_x000D_
2014.07至今如皋港人民医院外科住院医师</v>
      </c>
      <c r="AC211" s="2" t="str">
        <f>"于2015年通过执业医师考试并获得执业医师医师资格证"</f>
        <v>于2015年通过执业医师考试并获得执业医师医师资格证</v>
      </c>
      <c r="AD211" s="2" t="str">
        <f>""</f>
        <v/>
      </c>
      <c r="AE211" s="4">
        <v>43433.426747685182</v>
      </c>
      <c r="AF211" s="2">
        <v>1</v>
      </c>
      <c r="AG211" s="2">
        <v>1</v>
      </c>
      <c r="AH211" s="2">
        <v>1</v>
      </c>
      <c r="AI211" s="2" t="str">
        <f>"18002029518"</f>
        <v>18002029518</v>
      </c>
      <c r="AJ211" s="2">
        <v>95</v>
      </c>
      <c r="AK211" s="2">
        <v>18</v>
      </c>
      <c r="AL211" s="2" t="s">
        <v>42</v>
      </c>
      <c r="AM211" s="2" t="s">
        <v>43</v>
      </c>
      <c r="AN211" s="2">
        <v>2</v>
      </c>
      <c r="AO211" s="2">
        <v>910</v>
      </c>
      <c r="AP211" s="2" t="s">
        <v>70</v>
      </c>
      <c r="AQ211" s="2"/>
      <c r="AR211" s="2" t="s">
        <v>106</v>
      </c>
      <c r="AS211" s="3" t="s">
        <v>111</v>
      </c>
      <c r="AT211" s="2">
        <v>74</v>
      </c>
      <c r="AU211" s="2" t="s">
        <v>117</v>
      </c>
      <c r="AV211" s="6">
        <f t="shared" si="123"/>
        <v>74</v>
      </c>
      <c r="AW211" s="2">
        <v>3</v>
      </c>
      <c r="AX211" s="2"/>
      <c r="AY211" s="2"/>
    </row>
    <row r="212" spans="1:51" ht="18.75" customHeight="1">
      <c r="A212" t="str">
        <f>"1002201811261957392715"</f>
        <v>1002201811261957392715</v>
      </c>
      <c r="B212" s="9">
        <v>210</v>
      </c>
      <c r="C212" s="2" t="s">
        <v>64</v>
      </c>
      <c r="D212" s="2" t="str">
        <f>"张永飞"</f>
        <v>张永飞</v>
      </c>
      <c r="E212" s="2" t="str">
        <f t="shared" si="125"/>
        <v>男</v>
      </c>
      <c r="F212" s="2" t="str">
        <f>"1981-10-24"</f>
        <v>1981-10-24</v>
      </c>
      <c r="G212" s="2" t="str">
        <f>"320682198110246457"</f>
        <v>320682198110246457</v>
      </c>
      <c r="H212" s="2" t="str">
        <f>"如皋市搬经镇朱夏村"</f>
        <v>如皋市搬经镇朱夏村</v>
      </c>
      <c r="I212" s="2" t="str">
        <f t="shared" si="107"/>
        <v>非应届生</v>
      </c>
      <c r="J212" s="2" t="str">
        <f>"中级"</f>
        <v>中级</v>
      </c>
      <c r="K212" s="2" t="str">
        <f>"2008.01"</f>
        <v>2008.01</v>
      </c>
      <c r="L212" s="2" t="str">
        <f>"无"</f>
        <v>无</v>
      </c>
      <c r="M212" s="2" t="str">
        <f>"扬州大学"</f>
        <v>扬州大学</v>
      </c>
      <c r="N212" s="2" t="str">
        <f t="shared" si="126"/>
        <v>临床医学</v>
      </c>
      <c r="O212" s="2" t="str">
        <f t="shared" si="119"/>
        <v>本科</v>
      </c>
      <c r="P212" s="2" t="str">
        <f>"173"</f>
        <v>173</v>
      </c>
      <c r="Q212" s="2" t="str">
        <f>"如皋搬经医院"</f>
        <v>如皋搬经医院</v>
      </c>
      <c r="R212" s="2" t="str">
        <f>"2004.07"</f>
        <v>2004.07</v>
      </c>
      <c r="S212" s="2" t="str">
        <f>"如皋市搬经镇朱夏村11组25号"</f>
        <v>如皋市搬经镇朱夏村11组25号</v>
      </c>
      <c r="T212" s="2" t="str">
        <f>"226500"</f>
        <v>226500</v>
      </c>
      <c r="U212" s="2" t="str">
        <f>"81708300"</f>
        <v>81708300</v>
      </c>
      <c r="V212" s="2" t="str">
        <f>"13914376575"</f>
        <v>13914376575</v>
      </c>
      <c r="W212" s="2" t="str">
        <f>"无"</f>
        <v>无</v>
      </c>
      <c r="X212" s="2" t="str">
        <f t="shared" si="120"/>
        <v>否</v>
      </c>
      <c r="Y212" s="2" t="str">
        <f>"无"</f>
        <v>无</v>
      </c>
      <c r="Z212" s="2" t="str">
        <f>"无"</f>
        <v>无</v>
      </c>
      <c r="AA212" s="2" t="str">
        <f>"配偶|卢琴|如皋市金玉泡塑有限公司|||||||||"</f>
        <v>配偶|卢琴|如皋市金玉泡塑有限公司|||||||||</v>
      </c>
      <c r="AB212" s="2" t="str">
        <f>"1997.09-2000.06 如皋市搬经中学 学生_x000D_
2000.09-2001.05 扬州大学全科医学预科班_x000D_
2001.09-2004.07 扬州大学医学院 大专_x000D_
2004.07-2005.09 如皋夏堡医院 _x000D_
2005.09至今 如皋搬经医院 医生_x000D_
2006.01-2008.01扬州大学医学院 本科"</f>
        <v>1997.09-2000.06 如皋市搬经中学 学生_x000D_
2000.09-2001.05 扬州大学全科医学预科班_x000D_
2001.09-2004.07 扬州大学医学院 大专_x000D_
2004.07-2005.09 如皋夏堡医院 _x000D_
2005.09至今 如皋搬经医院 医生_x000D_
2006.01-2008.01扬州大学医学院 本科</v>
      </c>
      <c r="AC212" s="2" t="str">
        <f>"2015年10月份获得中级职称"</f>
        <v>2015年10月份获得中级职称</v>
      </c>
      <c r="AD212" s="2" t="str">
        <f>""</f>
        <v/>
      </c>
      <c r="AE212" s="4">
        <v>43430.463321759256</v>
      </c>
      <c r="AF212" s="2">
        <v>1</v>
      </c>
      <c r="AG212" s="2">
        <v>1</v>
      </c>
      <c r="AH212" s="2">
        <v>1</v>
      </c>
      <c r="AI212" s="2" t="str">
        <f>"18002029524"</f>
        <v>18002029524</v>
      </c>
      <c r="AJ212" s="2">
        <v>95</v>
      </c>
      <c r="AK212" s="2">
        <v>24</v>
      </c>
      <c r="AL212" s="2" t="s">
        <v>42</v>
      </c>
      <c r="AM212" s="2" t="s">
        <v>43</v>
      </c>
      <c r="AN212" s="2">
        <v>2</v>
      </c>
      <c r="AO212" s="2">
        <v>7441</v>
      </c>
      <c r="AP212" s="2" t="s">
        <v>65</v>
      </c>
      <c r="AQ212" s="2"/>
      <c r="AR212" s="2" t="s">
        <v>106</v>
      </c>
      <c r="AS212" s="3" t="s">
        <v>111</v>
      </c>
      <c r="AT212" s="2">
        <v>73.5</v>
      </c>
      <c r="AU212" s="2" t="s">
        <v>117</v>
      </c>
      <c r="AV212" s="6">
        <f t="shared" si="123"/>
        <v>73.5</v>
      </c>
      <c r="AW212" s="2">
        <v>4</v>
      </c>
      <c r="AX212" s="2"/>
      <c r="AY212" s="2"/>
    </row>
    <row r="213" spans="1:51" ht="18.75" customHeight="1">
      <c r="A213" t="str">
        <f>"100220181126090508199"</f>
        <v>100220181126090508199</v>
      </c>
      <c r="B213" s="9">
        <v>211</v>
      </c>
      <c r="C213" s="2" t="s">
        <v>64</v>
      </c>
      <c r="D213" s="2" t="str">
        <f>"吴晖"</f>
        <v>吴晖</v>
      </c>
      <c r="E213" s="2" t="str">
        <f t="shared" si="125"/>
        <v>男</v>
      </c>
      <c r="F213" s="2" t="str">
        <f>"1979-09-01"</f>
        <v>1979-09-01</v>
      </c>
      <c r="G213" s="2" t="str">
        <f>"320682197909014513"</f>
        <v>320682197909014513</v>
      </c>
      <c r="H213" s="2" t="str">
        <f>"江苏省如皋市"</f>
        <v>江苏省如皋市</v>
      </c>
      <c r="I213" s="2" t="str">
        <f t="shared" si="107"/>
        <v>非应届生</v>
      </c>
      <c r="J213" s="2" t="str">
        <f>"主治医师"</f>
        <v>主治医师</v>
      </c>
      <c r="K213" s="2" t="str">
        <f>"2009.01"</f>
        <v>2009.01</v>
      </c>
      <c r="L213" s="2" t="str">
        <f>"无"</f>
        <v>无</v>
      </c>
      <c r="M213" s="2" t="str">
        <f>"南通大学"</f>
        <v>南通大学</v>
      </c>
      <c r="N213" s="2" t="str">
        <f>"临床专业"</f>
        <v>临床专业</v>
      </c>
      <c r="O213" s="2" t="str">
        <f t="shared" si="119"/>
        <v>本科</v>
      </c>
      <c r="P213" s="2" t="str">
        <f>"175"</f>
        <v>175</v>
      </c>
      <c r="Q213" s="2" t="str">
        <f>"如皋市长江镇卫生所"</f>
        <v>如皋市长江镇卫生所</v>
      </c>
      <c r="R213" s="2" t="str">
        <f>"2007.01"</f>
        <v>2007.01</v>
      </c>
      <c r="S213" s="2" t="str">
        <f>"如皋市长江镇红星花苑348-102"</f>
        <v>如皋市长江镇红星花苑348-102</v>
      </c>
      <c r="T213" s="2" t="str">
        <f>"226532"</f>
        <v>226532</v>
      </c>
      <c r="U213" s="2" t="str">
        <f>"66935986"</f>
        <v>66935986</v>
      </c>
      <c r="V213" s="2" t="str">
        <f>"15862746506"</f>
        <v>15862746506</v>
      </c>
      <c r="W213" s="2" t="str">
        <f>"无"</f>
        <v>无</v>
      </c>
      <c r="X213" s="2" t="str">
        <f t="shared" si="120"/>
        <v>否</v>
      </c>
      <c r="Y213" s="2" t="str">
        <f>"高级职称"</f>
        <v>高级职称</v>
      </c>
      <c r="Z213" s="2" t="str">
        <f>"高级职称"</f>
        <v>高级职称</v>
      </c>
      <c r="AA213" s="2" t="str">
        <f>"配偶|陈静|南通市广济门诊部|儿子|吴烊|南通市易家桥中学||||||"</f>
        <v>配偶|陈静|南通市广济门诊部|儿子|吴烊|南通市易家桥中学||||||</v>
      </c>
      <c r="AB213" s="2" t="str">
        <f>"1999.09-2002.07山西老区医学院    学生_x000D_
2006.02-2009.01南通大学          学生_x000D_
2007.01-2012.08南通市第三人民医院天都社区卫生服务站    医师_x000D_
2012.09-2017.10南通市第三人民医院新城桥街道社区卫生服务中心  主治医师_x000D_
2017.11-至今   如皋市卫生所     主治医师"</f>
        <v>1999.09-2002.07山西老区医学院    学生_x000D_
2006.02-2009.01南通大学          学生_x000D_
2007.01-2012.08南通市第三人民医院天都社区卫生服务站    医师_x000D_
2012.09-2017.10南通市第三人民医院新城桥街道社区卫生服务中心  主治医师_x000D_
2017.11-至今   如皋市卫生所     主治医师</v>
      </c>
      <c r="AC213" s="2" t="str">
        <f>"江苏省全科医生岗位培训合格证_x000D_
江苏省全科医生转岗培训合格证"</f>
        <v>江苏省全科医生岗位培训合格证_x000D_
江苏省全科医生转岗培训合格证</v>
      </c>
      <c r="AD213" s="2" t="str">
        <f>""</f>
        <v/>
      </c>
      <c r="AE213" s="4">
        <v>43432.473217592589</v>
      </c>
      <c r="AF213" s="2">
        <v>1</v>
      </c>
      <c r="AG213" s="2">
        <v>1</v>
      </c>
      <c r="AH213" s="2">
        <v>13</v>
      </c>
      <c r="AI213" s="2" t="str">
        <f>"18002029519"</f>
        <v>18002029519</v>
      </c>
      <c r="AJ213" s="2">
        <v>95</v>
      </c>
      <c r="AK213" s="2">
        <v>19</v>
      </c>
      <c r="AL213" s="2" t="s">
        <v>42</v>
      </c>
      <c r="AM213" s="2" t="s">
        <v>43</v>
      </c>
      <c r="AN213" s="2">
        <v>2</v>
      </c>
      <c r="AO213" s="2">
        <v>1165</v>
      </c>
      <c r="AP213" s="2" t="s">
        <v>68</v>
      </c>
      <c r="AQ213" s="2"/>
      <c r="AR213" s="2" t="s">
        <v>106</v>
      </c>
      <c r="AS213" s="3" t="s">
        <v>111</v>
      </c>
      <c r="AT213" s="2">
        <v>72</v>
      </c>
      <c r="AU213" s="2" t="s">
        <v>117</v>
      </c>
      <c r="AV213" s="6">
        <f t="shared" si="123"/>
        <v>72</v>
      </c>
      <c r="AW213" s="2">
        <v>5</v>
      </c>
      <c r="AX213" s="2"/>
      <c r="AY213" s="2"/>
    </row>
    <row r="214" spans="1:51" ht="18.75" customHeight="1">
      <c r="A214" t="str">
        <f>"100220181126102346900"</f>
        <v>100220181126102346900</v>
      </c>
      <c r="B214" s="9">
        <v>212</v>
      </c>
      <c r="C214" s="2" t="s">
        <v>64</v>
      </c>
      <c r="D214" s="2" t="str">
        <f>"杨圣怀"</f>
        <v>杨圣怀</v>
      </c>
      <c r="E214" s="2" t="str">
        <f t="shared" si="125"/>
        <v>男</v>
      </c>
      <c r="F214" s="2" t="str">
        <f>"1978-12-03"</f>
        <v>1978-12-03</v>
      </c>
      <c r="G214" s="2" t="str">
        <f>"320682197812036636"</f>
        <v>320682197812036636</v>
      </c>
      <c r="H214" s="2" t="str">
        <f>"江苏南通"</f>
        <v>江苏南通</v>
      </c>
      <c r="I214" s="2" t="str">
        <f t="shared" si="107"/>
        <v>非应届生</v>
      </c>
      <c r="J214" s="2" t="str">
        <f>"中级"</f>
        <v>中级</v>
      </c>
      <c r="K214" s="2" t="str">
        <f>"2011.01"</f>
        <v>2011.01</v>
      </c>
      <c r="L214" s="2" t="str">
        <f t="shared" ref="L214:L215" si="127">"学士"</f>
        <v>学士</v>
      </c>
      <c r="M214" s="2" t="str">
        <f>"南通大学"</f>
        <v>南通大学</v>
      </c>
      <c r="N214" s="2" t="str">
        <f t="shared" ref="N214:N215" si="128">"临床医学"</f>
        <v>临床医学</v>
      </c>
      <c r="O214" s="2" t="str">
        <f t="shared" si="119"/>
        <v>本科</v>
      </c>
      <c r="P214" s="2" t="str">
        <f>"169"</f>
        <v>169</v>
      </c>
      <c r="Q214" s="2" t="str">
        <f>"如皋市第四人民医院"</f>
        <v>如皋市第四人民医院</v>
      </c>
      <c r="R214" s="2" t="str">
        <f>"2005.07"</f>
        <v>2005.07</v>
      </c>
      <c r="S214" s="2" t="str">
        <f>"江苏省如皋市搬经镇万富村"</f>
        <v>江苏省如皋市搬经镇万富村</v>
      </c>
      <c r="T214" s="2" t="str">
        <f>"226562"</f>
        <v>226562</v>
      </c>
      <c r="U214" s="2" t="str">
        <f>"0513873711272"</f>
        <v>0513873711272</v>
      </c>
      <c r="V214" s="2" t="str">
        <f>"13914377920"</f>
        <v>13914377920</v>
      </c>
      <c r="W214" s="2" t="str">
        <f>"八级"</f>
        <v>八级</v>
      </c>
      <c r="X214" s="2" t="str">
        <f t="shared" si="120"/>
        <v>否</v>
      </c>
      <c r="Y214" s="2" t="str">
        <f>"四级"</f>
        <v>四级</v>
      </c>
      <c r="Z214" s="2" t="str">
        <f>"二级"</f>
        <v>二级</v>
      </c>
      <c r="AA214" s="2" t="str">
        <f>"妻子|谢爱华|如皋市万富卫生服务站|||||||||"</f>
        <v>妻子|谢爱华|如皋市万富卫生服务站|||||||||</v>
      </c>
      <c r="AB214" s="2" t="str">
        <f>"2002-2005就读于东南大学 临床医学专业_x000D_
2005.07-2017.06就职于如皋加力医院_x000D_
2017.06至今就职于如皋市第四人民医院_x000D_
"</f>
        <v xml:space="preserve">2002-2005就读于东南大学 临床医学专业_x000D_
2005.07-2017.06就职于如皋加力医院_x000D_
2017.06至今就职于如皋市第四人民医院_x000D_
</v>
      </c>
      <c r="AC214" s="2" t="str">
        <f>"无"</f>
        <v>无</v>
      </c>
      <c r="AD214" s="2" t="str">
        <f>""</f>
        <v/>
      </c>
      <c r="AE214" s="4">
        <v>43434.664467592593</v>
      </c>
      <c r="AF214" s="2">
        <v>1</v>
      </c>
      <c r="AG214" s="2">
        <v>1</v>
      </c>
      <c r="AH214" s="2">
        <v>2</v>
      </c>
      <c r="AI214" s="2" t="str">
        <f>"18002029523"</f>
        <v>18002029523</v>
      </c>
      <c r="AJ214" s="2">
        <v>95</v>
      </c>
      <c r="AK214" s="2">
        <v>23</v>
      </c>
      <c r="AL214" s="2" t="s">
        <v>42</v>
      </c>
      <c r="AM214" s="2" t="s">
        <v>43</v>
      </c>
      <c r="AN214" s="2">
        <v>2</v>
      </c>
      <c r="AO214" s="2">
        <v>6953</v>
      </c>
      <c r="AP214" s="2" t="s">
        <v>101</v>
      </c>
      <c r="AQ214" s="2"/>
      <c r="AR214" s="2" t="s">
        <v>106</v>
      </c>
      <c r="AS214" s="3" t="s">
        <v>111</v>
      </c>
      <c r="AT214" s="2">
        <v>71.5</v>
      </c>
      <c r="AU214" s="2" t="s">
        <v>117</v>
      </c>
      <c r="AV214" s="6">
        <f t="shared" si="123"/>
        <v>71.5</v>
      </c>
      <c r="AW214" s="2">
        <v>6</v>
      </c>
      <c r="AX214" s="2"/>
      <c r="AY214" s="2"/>
    </row>
    <row r="215" spans="1:51" ht="18.75" customHeight="1">
      <c r="A215" t="str">
        <f>"1002201811281650175054"</f>
        <v>1002201811281650175054</v>
      </c>
      <c r="B215" s="9">
        <v>213</v>
      </c>
      <c r="C215" s="2" t="s">
        <v>64</v>
      </c>
      <c r="D215" s="2" t="str">
        <f>"苏亚峰"</f>
        <v>苏亚峰</v>
      </c>
      <c r="E215" s="2" t="str">
        <f t="shared" si="125"/>
        <v>男</v>
      </c>
      <c r="F215" s="2" t="str">
        <f>"1991-10-20"</f>
        <v>1991-10-20</v>
      </c>
      <c r="G215" s="2" t="str">
        <f>"320682199110206599"</f>
        <v>320682199110206599</v>
      </c>
      <c r="H215" s="2" t="str">
        <f>"江苏南通如皋"</f>
        <v>江苏南通如皋</v>
      </c>
      <c r="I215" s="2" t="str">
        <f t="shared" si="107"/>
        <v>非应届生</v>
      </c>
      <c r="J215" s="2" t="str">
        <f>"已通过执业医师"</f>
        <v>已通过执业医师</v>
      </c>
      <c r="K215" s="2" t="str">
        <f>"2015-06-30"</f>
        <v>2015-06-30</v>
      </c>
      <c r="L215" s="2" t="str">
        <f t="shared" si="127"/>
        <v>学士</v>
      </c>
      <c r="M215" s="2" t="str">
        <f>"南通大学"</f>
        <v>南通大学</v>
      </c>
      <c r="N215" s="2" t="str">
        <f t="shared" si="128"/>
        <v>临床医学</v>
      </c>
      <c r="O215" s="2" t="str">
        <f t="shared" si="119"/>
        <v>本科</v>
      </c>
      <c r="P215" s="2" t="str">
        <f>"175"</f>
        <v>175</v>
      </c>
      <c r="Q215" s="2" t="str">
        <f>"如皋港人民医院"</f>
        <v>如皋港人民医院</v>
      </c>
      <c r="R215" s="2" t="str">
        <f>"2015-07-26"</f>
        <v>2015-07-26</v>
      </c>
      <c r="S215" s="2" t="str">
        <f>"江苏南通如皋搬进万富村25组51号"</f>
        <v>江苏南通如皋搬进万富村25组51号</v>
      </c>
      <c r="T215" s="2" t="str">
        <f>"226500"</f>
        <v>226500</v>
      </c>
      <c r="U215" s="2" t="str">
        <f>"13962989261"</f>
        <v>13962989261</v>
      </c>
      <c r="V215" s="2" t="str">
        <f>"13962989261"</f>
        <v>13962989261</v>
      </c>
      <c r="W215" s="2" t="str">
        <f>"-"</f>
        <v>-</v>
      </c>
      <c r="X215" s="2" t="str">
        <f t="shared" si="120"/>
        <v>否</v>
      </c>
      <c r="Y215" s="2" t="str">
        <f>"英语四级"</f>
        <v>英语四级</v>
      </c>
      <c r="Z215" s="2" t="str">
        <f>"全国一级"</f>
        <v>全国一级</v>
      </c>
      <c r="AA215" s="2" t="str">
        <f>"父亲|苏强|农民|||||||||"</f>
        <v>父亲|苏强|农民|||||||||</v>
      </c>
      <c r="AB215" s="2" t="str">
        <f>"2007.09-2010.06 如皋市第一中学 学生_x000D_
2010.09-2015.06 南通大学医学院临床医学 学生_x000D_
2015.07-2018.01 南通瑞慈医院 医师 _x000D_
2015.10-2018.10 南通大学附属医院 住培医师"</f>
        <v>2007.09-2010.06 如皋市第一中学 学生_x000D_
2010.09-2015.06 南通大学医学院临床医学 学生_x000D_
2015.07-2018.01 南通瑞慈医院 医师 _x000D_
2015.10-2018.10 南通大学附属医院 住培医师</v>
      </c>
      <c r="AC215" s="2" t="str">
        <f>"-"</f>
        <v>-</v>
      </c>
      <c r="AD215" s="2" t="str">
        <f>"-"</f>
        <v>-</v>
      </c>
      <c r="AE215" s="4">
        <v>43433.436377314814</v>
      </c>
      <c r="AF215" s="2">
        <v>1</v>
      </c>
      <c r="AG215" s="2">
        <v>1</v>
      </c>
      <c r="AH215" s="2">
        <v>4</v>
      </c>
      <c r="AI215" s="2" t="str">
        <f>"18002029522"</f>
        <v>18002029522</v>
      </c>
      <c r="AJ215" s="2">
        <v>95</v>
      </c>
      <c r="AK215" s="2">
        <v>22</v>
      </c>
      <c r="AL215" s="2" t="s">
        <v>42</v>
      </c>
      <c r="AM215" s="2" t="s">
        <v>43</v>
      </c>
      <c r="AN215" s="2">
        <v>2</v>
      </c>
      <c r="AO215" s="2">
        <v>6675</v>
      </c>
      <c r="AP215" s="2" t="s">
        <v>95</v>
      </c>
      <c r="AQ215" s="2"/>
      <c r="AR215" s="2" t="s">
        <v>106</v>
      </c>
      <c r="AS215" s="3" t="s">
        <v>111</v>
      </c>
      <c r="AT215" s="2">
        <v>62.5</v>
      </c>
      <c r="AU215" s="2" t="s">
        <v>117</v>
      </c>
      <c r="AV215" s="6">
        <f t="shared" si="123"/>
        <v>62.5</v>
      </c>
      <c r="AW215" s="2">
        <v>7</v>
      </c>
      <c r="AX215" s="2"/>
      <c r="AY215" s="2"/>
    </row>
    <row r="216" spans="1:51" ht="18.75" customHeight="1">
      <c r="A216" t="str">
        <f>"100220181126094121600"</f>
        <v>100220181126094121600</v>
      </c>
      <c r="B216" s="9">
        <v>214</v>
      </c>
      <c r="C216" s="2" t="s">
        <v>49</v>
      </c>
      <c r="D216" s="2" t="str">
        <f>"苏景梅"</f>
        <v>苏景梅</v>
      </c>
      <c r="E216" s="2" t="str">
        <f>"女"</f>
        <v>女</v>
      </c>
      <c r="F216" s="2" t="str">
        <f>"1986-09-25"</f>
        <v>1986-09-25</v>
      </c>
      <c r="G216" s="2" t="str">
        <f>"320682198609255782"</f>
        <v>320682198609255782</v>
      </c>
      <c r="H216" s="2" t="str">
        <f>"江苏省如皋市江安镇六团村十二组41号"</f>
        <v>江苏省如皋市江安镇六团村十二组41号</v>
      </c>
      <c r="I216" s="2" t="str">
        <f t="shared" si="107"/>
        <v>非应届生</v>
      </c>
      <c r="J216" s="2" t="str">
        <f>"护师"</f>
        <v>护师</v>
      </c>
      <c r="K216" s="2" t="str">
        <f>"2011.01"</f>
        <v>2011.01</v>
      </c>
      <c r="L216" s="2" t="str">
        <f>"无"</f>
        <v>无</v>
      </c>
      <c r="M216" s="2" t="str">
        <f>"南京东南大学"</f>
        <v>南京东南大学</v>
      </c>
      <c r="N216" s="2" t="str">
        <f>"护理"</f>
        <v>护理</v>
      </c>
      <c r="O216" s="2" t="str">
        <f>"大专"</f>
        <v>大专</v>
      </c>
      <c r="P216" s="2" t="str">
        <f>"156"</f>
        <v>156</v>
      </c>
      <c r="Q216" s="2" t="str">
        <f>"如皋安康医院"</f>
        <v>如皋安康医院</v>
      </c>
      <c r="R216" s="2" t="str">
        <f>"2007.07"</f>
        <v>2007.07</v>
      </c>
      <c r="S216" s="2" t="str">
        <f>"江苏省南通市如皋市石庄镇安康医院"</f>
        <v>江苏省南通市如皋市石庄镇安康医院</v>
      </c>
      <c r="T216" s="2" t="str">
        <f>"226500"</f>
        <v>226500</v>
      </c>
      <c r="U216" s="2" t="str">
        <f t="shared" ref="U216" si="129">"无"</f>
        <v>无</v>
      </c>
      <c r="V216" s="2" t="str">
        <f>"15366354969"</f>
        <v>15366354969</v>
      </c>
      <c r="W216" s="2" t="str">
        <f>"二级"</f>
        <v>二级</v>
      </c>
      <c r="X216" s="2" t="str">
        <f>"否"</f>
        <v>否</v>
      </c>
      <c r="Y216" s="2" t="str">
        <f>"一般"</f>
        <v>一般</v>
      </c>
      <c r="Z216" s="2" t="str">
        <f>"一般"</f>
        <v>一般</v>
      </c>
      <c r="AA216" s="2" t="str">
        <f>"父亲|苏远伦|务农|母亲|周美玲|务农||||||"</f>
        <v>父亲|苏远伦|务农|母亲|周美玲|务农||||||</v>
      </c>
      <c r="AB216" s="2" t="str">
        <f>"2004.09-2007.07 河北省石家庄市柯棣华医学专修学院 学生_x000D_
2007.07-2009.05 武警南京医院 护士_x000D_
2008.02-2011.01 东南大学 学生_x000D_
2009.05至今 如皋安康医院 护士"</f>
        <v>2004.09-2007.07 河北省石家庄市柯棣华医学专修学院 学生_x000D_
2007.07-2009.05 武警南京医院 护士_x000D_
2008.02-2011.01 东南大学 学生_x000D_
2009.05至今 如皋安康医院 护士</v>
      </c>
      <c r="AC216" s="2" t="str">
        <f>"2012护师证已考，现正在备考主管护师"</f>
        <v>2012护师证已考，现正在备考主管护师</v>
      </c>
      <c r="AD216" s="2" t="str">
        <f>""</f>
        <v/>
      </c>
      <c r="AE216" s="4">
        <v>43432.600497685184</v>
      </c>
      <c r="AF216" s="2">
        <v>1</v>
      </c>
      <c r="AG216" s="2">
        <v>1</v>
      </c>
      <c r="AH216" s="2">
        <v>2</v>
      </c>
      <c r="AI216" s="2" t="str">
        <f>"18002029326"</f>
        <v>18002029326</v>
      </c>
      <c r="AJ216" s="2">
        <v>93</v>
      </c>
      <c r="AK216" s="2">
        <v>26</v>
      </c>
      <c r="AL216" s="2" t="s">
        <v>42</v>
      </c>
      <c r="AM216" s="2" t="s">
        <v>43</v>
      </c>
      <c r="AN216" s="2">
        <v>2</v>
      </c>
      <c r="AO216" s="2">
        <v>8054</v>
      </c>
      <c r="AP216" s="2" t="s">
        <v>89</v>
      </c>
      <c r="AQ216" s="2"/>
      <c r="AR216" s="2" t="s">
        <v>107</v>
      </c>
      <c r="AS216" s="3" t="s">
        <v>112</v>
      </c>
      <c r="AT216" s="2">
        <v>90.5</v>
      </c>
      <c r="AU216" s="2" t="s">
        <v>117</v>
      </c>
      <c r="AV216" s="6">
        <f t="shared" si="123"/>
        <v>90.5</v>
      </c>
      <c r="AW216" s="2">
        <v>1</v>
      </c>
      <c r="AX216" s="2"/>
      <c r="AY216" s="2"/>
    </row>
    <row r="217" spans="1:51" ht="18.75" customHeight="1">
      <c r="A217" t="str">
        <f>"100220181126091928366"</f>
        <v>100220181126091928366</v>
      </c>
      <c r="B217" s="9">
        <v>215</v>
      </c>
      <c r="C217" s="2" t="s">
        <v>49</v>
      </c>
      <c r="D217" s="2" t="str">
        <f>"王琴"</f>
        <v>王琴</v>
      </c>
      <c r="E217" s="2" t="str">
        <f>"女"</f>
        <v>女</v>
      </c>
      <c r="F217" s="2" t="str">
        <f>"1989-01-29"</f>
        <v>1989-01-29</v>
      </c>
      <c r="G217" s="2" t="str">
        <f>"320684198901296162"</f>
        <v>320684198901296162</v>
      </c>
      <c r="H217" s="2" t="str">
        <f>"江苏省海门市"</f>
        <v>江苏省海门市</v>
      </c>
      <c r="I217" s="2" t="str">
        <f t="shared" si="107"/>
        <v>非应届生</v>
      </c>
      <c r="J217" s="2" t="str">
        <f>"护师"</f>
        <v>护师</v>
      </c>
      <c r="K217" s="2" t="str">
        <f>"201605"</f>
        <v>201605</v>
      </c>
      <c r="L217" s="2" t="str">
        <f>"无"</f>
        <v>无</v>
      </c>
      <c r="M217" s="2" t="str">
        <f>"南通大学"</f>
        <v>南通大学</v>
      </c>
      <c r="N217" s="2" t="str">
        <f>"护理"</f>
        <v>护理</v>
      </c>
      <c r="O217" s="2" t="str">
        <f>"大专"</f>
        <v>大专</v>
      </c>
      <c r="P217" s="2" t="str">
        <f>"172"</f>
        <v>172</v>
      </c>
      <c r="Q217" s="2" t="str">
        <f>"海门市第六人民医院"</f>
        <v>海门市第六人民医院</v>
      </c>
      <c r="R217" s="2" t="str">
        <f>"2009.06"</f>
        <v>2009.06</v>
      </c>
      <c r="S217" s="2" t="str">
        <f>"江苏省海门市王浩镇"</f>
        <v>江苏省海门市王浩镇</v>
      </c>
      <c r="T217" s="2" t="str">
        <f>"226151"</f>
        <v>226151</v>
      </c>
      <c r="U217" s="2" t="str">
        <f>"13862499682"</f>
        <v>13862499682</v>
      </c>
      <c r="V217" s="2" t="str">
        <f>"15162798856"</f>
        <v>15162798856</v>
      </c>
      <c r="W217" s="2" t="str">
        <f>"二级"</f>
        <v>二级</v>
      </c>
      <c r="X217" s="2" t="str">
        <f>"否"</f>
        <v>否</v>
      </c>
      <c r="Y217" s="2" t="str">
        <f>"一般"</f>
        <v>一般</v>
      </c>
      <c r="Z217" s="2" t="str">
        <f>"一般"</f>
        <v>一般</v>
      </c>
      <c r="AA217" s="2" t="str">
        <f>"配偶|鄂振东|江苏省包场高级中学|父亲|王兰清|个体|母亲|赵作英|个体|||"</f>
        <v>配偶|鄂振东|江苏省包场高级中学|父亲|王兰清|个体|母亲|赵作英|个体|||</v>
      </c>
      <c r="AB217" s="2" t="str">
        <f>"2004.09-2007.07南通市海门卫生职工中专_x000D_
2009.06至今海门市第六人民医院护士"</f>
        <v>2004.09-2007.07南通市海门卫生职工中专_x000D_
2009.06至今海门市第六人民医院护士</v>
      </c>
      <c r="AC217" s="2" t="str">
        <f>"已经取得护士执业资格证书"</f>
        <v>已经取得护士执业资格证书</v>
      </c>
      <c r="AD217" s="2" t="str">
        <f>""</f>
        <v/>
      </c>
      <c r="AE217" s="4">
        <v>43434.43173611111</v>
      </c>
      <c r="AF217" s="2">
        <v>1</v>
      </c>
      <c r="AG217" s="2">
        <v>1</v>
      </c>
      <c r="AH217" s="2">
        <v>2</v>
      </c>
      <c r="AI217" s="2" t="str">
        <f>"18002029229"</f>
        <v>18002029229</v>
      </c>
      <c r="AJ217" s="2">
        <v>92</v>
      </c>
      <c r="AK217" s="2">
        <v>29</v>
      </c>
      <c r="AL217" s="2" t="s">
        <v>42</v>
      </c>
      <c r="AM217" s="2" t="s">
        <v>43</v>
      </c>
      <c r="AN217" s="2">
        <v>2</v>
      </c>
      <c r="AO217" s="2">
        <v>4778</v>
      </c>
      <c r="AP217" s="2" t="s">
        <v>98</v>
      </c>
      <c r="AQ217" s="2"/>
      <c r="AR217" s="2" t="s">
        <v>107</v>
      </c>
      <c r="AS217" s="3" t="s">
        <v>112</v>
      </c>
      <c r="AT217" s="2">
        <v>82.5</v>
      </c>
      <c r="AU217" s="2" t="s">
        <v>117</v>
      </c>
      <c r="AV217" s="6">
        <f t="shared" si="123"/>
        <v>82.5</v>
      </c>
      <c r="AW217" s="2">
        <v>2</v>
      </c>
      <c r="AX217" s="2"/>
      <c r="AY217" s="2"/>
    </row>
    <row r="218" spans="1:51" ht="18.75" customHeight="1">
      <c r="A218" t="str">
        <f>"1002201811291858206220"</f>
        <v>1002201811291858206220</v>
      </c>
      <c r="B218" s="9">
        <v>216</v>
      </c>
      <c r="C218" s="2" t="s">
        <v>49</v>
      </c>
      <c r="D218" s="2" t="str">
        <f>"黄亚秋"</f>
        <v>黄亚秋</v>
      </c>
      <c r="E218" s="2" t="str">
        <f>"女"</f>
        <v>女</v>
      </c>
      <c r="F218" s="2" t="str">
        <f>"1982-09-23"</f>
        <v>1982-09-23</v>
      </c>
      <c r="G218" s="2" t="str">
        <f>"320682198209232645"</f>
        <v>320682198209232645</v>
      </c>
      <c r="H218" s="2" t="str">
        <f>"江苏南通港闸区公园二村"</f>
        <v>江苏南通港闸区公园二村</v>
      </c>
      <c r="I218" s="2" t="str">
        <f t="shared" si="107"/>
        <v>非应届生</v>
      </c>
      <c r="J218" s="2" t="str">
        <f>"主管护师"</f>
        <v>主管护师</v>
      </c>
      <c r="K218" s="2" t="str">
        <f>"2002.07"</f>
        <v>2002.07</v>
      </c>
      <c r="L218" s="2" t="str">
        <f>"学士"</f>
        <v>学士</v>
      </c>
      <c r="M218" s="2" t="str">
        <f>"南通大学"</f>
        <v>南通大学</v>
      </c>
      <c r="N218" s="2" t="str">
        <f>"护理"</f>
        <v>护理</v>
      </c>
      <c r="O218" s="2" t="str">
        <f>"本科"</f>
        <v>本科</v>
      </c>
      <c r="P218" s="2" t="str">
        <f>"160"</f>
        <v>160</v>
      </c>
      <c r="Q218" s="2" t="str">
        <f>"南通市第三人民医院"</f>
        <v>南通市第三人民医院</v>
      </c>
      <c r="R218" s="2" t="str">
        <f>"2002.07"</f>
        <v>2002.07</v>
      </c>
      <c r="S218" s="2" t="str">
        <f>"南通市港闸区公园二村31幢502"</f>
        <v>南通市港闸区公园二村31幢502</v>
      </c>
      <c r="T218" s="2" t="str">
        <f>"226002"</f>
        <v>226002</v>
      </c>
      <c r="U218" s="2" t="str">
        <f>"89093816"</f>
        <v>89093816</v>
      </c>
      <c r="V218" s="2" t="str">
        <f>"13962937939"</f>
        <v>13962937939</v>
      </c>
      <c r="W218" s="2" t="str">
        <f>"无"</f>
        <v>无</v>
      </c>
      <c r="X218" s="2" t="str">
        <f>"是"</f>
        <v>是</v>
      </c>
      <c r="Y218" s="2" t="str">
        <f>"学位英语"</f>
        <v>学位英语</v>
      </c>
      <c r="Z218" s="2" t="str">
        <f>"中级"</f>
        <v>中级</v>
      </c>
      <c r="AA218" s="2" t="str">
        <f>"配偶|陆亦锋|南通德福乐科技有限公司|儿子|陆黄铄|学生||||||"</f>
        <v>配偶|陆亦锋|南通德福乐科技有限公司|儿子|陆黄铄|学生||||||</v>
      </c>
      <c r="AB218" s="2" t="str">
        <f>"1998.09-2002.07南通体臣卫校_x000D_
2002.9-2006.7南通大学专科课程_x000D_
2002.08-2004.04南通市第二人民医院_x000D_
2004.04-2005.04 南通市东方医院_x000D_
2013.02-2015.06南通大学本科课程_x000D_
2005.04至今南通市第三人民医院"</f>
        <v>1998.09-2002.07南通体臣卫校_x000D_
2002.9-2006.7南通大学专科课程_x000D_
2002.08-2004.04南通市第二人民医院_x000D_
2004.04-2005.04 南通市东方医院_x000D_
2013.02-2015.06南通大学本科课程_x000D_
2005.04至今南通市第三人民医院</v>
      </c>
      <c r="AC218" s="2" t="str">
        <f>"已取得《护士职业证书》"</f>
        <v>已取得《护士职业证书》</v>
      </c>
      <c r="AD218" s="2" t="str">
        <f>"取得《江苏省消化专科护士》合格证书，"</f>
        <v>取得《江苏省消化专科护士》合格证书，</v>
      </c>
      <c r="AE218" s="4">
        <v>43432.607939814814</v>
      </c>
      <c r="AF218" s="2">
        <v>1</v>
      </c>
      <c r="AG218" s="2">
        <v>1</v>
      </c>
      <c r="AH218" s="2">
        <v>1</v>
      </c>
      <c r="AI218" s="2" t="str">
        <f>"18002029221"</f>
        <v>18002029221</v>
      </c>
      <c r="AJ218" s="2">
        <v>92</v>
      </c>
      <c r="AK218" s="2">
        <v>21</v>
      </c>
      <c r="AL218" s="2" t="s">
        <v>42</v>
      </c>
      <c r="AM218" s="2" t="s">
        <v>43</v>
      </c>
      <c r="AN218" s="2">
        <v>2</v>
      </c>
      <c r="AO218" s="2">
        <v>2941</v>
      </c>
      <c r="AP218" s="2" t="s">
        <v>81</v>
      </c>
      <c r="AQ218" s="2"/>
      <c r="AR218" s="2" t="s">
        <v>107</v>
      </c>
      <c r="AS218" s="3" t="s">
        <v>112</v>
      </c>
      <c r="AT218" s="2">
        <v>81.5</v>
      </c>
      <c r="AU218" s="2" t="s">
        <v>117</v>
      </c>
      <c r="AV218" s="6">
        <f t="shared" si="123"/>
        <v>81.5</v>
      </c>
      <c r="AW218" s="2">
        <v>3</v>
      </c>
      <c r="AX218" s="2"/>
      <c r="AY218" s="2"/>
    </row>
    <row r="219" spans="1:51" ht="18.75" customHeight="1">
      <c r="A219" t="str">
        <f>"1002201811271735564012"</f>
        <v>1002201811271735564012</v>
      </c>
      <c r="B219" s="9">
        <v>217</v>
      </c>
      <c r="C219" s="2" t="s">
        <v>49</v>
      </c>
      <c r="D219" s="2" t="str">
        <f>"段振衡"</f>
        <v>段振衡</v>
      </c>
      <c r="E219" s="2" t="str">
        <f>"男"</f>
        <v>男</v>
      </c>
      <c r="F219" s="2" t="str">
        <f>"1989-11-07"</f>
        <v>1989-11-07</v>
      </c>
      <c r="G219" s="2" t="str">
        <f>"411222198911076018"</f>
        <v>411222198911076018</v>
      </c>
      <c r="H219" s="2" t="str">
        <f>"江苏镇江"</f>
        <v>江苏镇江</v>
      </c>
      <c r="I219" s="2" t="str">
        <f t="shared" si="107"/>
        <v>非应届生</v>
      </c>
      <c r="J219" s="2" t="str">
        <f>"护理师"</f>
        <v>护理师</v>
      </c>
      <c r="K219" s="2" t="str">
        <f>"2012.07"</f>
        <v>2012.07</v>
      </c>
      <c r="L219" s="2" t="str">
        <f>"无"</f>
        <v>无</v>
      </c>
      <c r="M219" s="2" t="str">
        <f>"苏州卫生职业技术学院"</f>
        <v>苏州卫生职业技术学院</v>
      </c>
      <c r="N219" s="2" t="str">
        <f>"护理学"</f>
        <v>护理学</v>
      </c>
      <c r="O219" s="2" t="str">
        <f>"大专"</f>
        <v>大专</v>
      </c>
      <c r="P219" s="2" t="str">
        <f>"178"</f>
        <v>178</v>
      </c>
      <c r="Q219" s="2" t="str">
        <f>"无"</f>
        <v>无</v>
      </c>
      <c r="R219" s="2" t="str">
        <f>"2012.07"</f>
        <v>2012.07</v>
      </c>
      <c r="S219" s="2" t="str">
        <f>"浙江省桐庐县宝心路38号"</f>
        <v>浙江省桐庐县宝心路38号</v>
      </c>
      <c r="T219" s="2" t="str">
        <f>"311500"</f>
        <v>311500</v>
      </c>
      <c r="U219" s="2" t="str">
        <f>"无"</f>
        <v>无</v>
      </c>
      <c r="V219" s="2" t="str">
        <f>"13606618262"</f>
        <v>13606618262</v>
      </c>
      <c r="W219" s="2" t="str">
        <f>"无"</f>
        <v>无</v>
      </c>
      <c r="X219" s="2" t="str">
        <f t="shared" ref="X219:X223" si="130">"否"</f>
        <v>否</v>
      </c>
      <c r="Y219" s="2" t="str">
        <f>"一般"</f>
        <v>一般</v>
      </c>
      <c r="Z219" s="2" t="str">
        <f>"一级B"</f>
        <v>一级B</v>
      </c>
      <c r="AA219" s="2" t="str">
        <f>"父亲|段俊琦|观音堂煤矿汽车队|母亲|仝冬玲|退休||||||"</f>
        <v>父亲|段俊琦|观音堂煤矿汽车队|母亲|仝冬玲|退休||||||</v>
      </c>
      <c r="AB219" s="2" t="str">
        <f>"2005.09—2008.06 河南省陕州中学 学生_x000D_
2008.09—2009.07 陕县第一高级中学 学生_x000D_
2009.09—2012.06 苏州卫生职业技术学院护理系 学生_x000D_
2012.07—2013.01 镇江市第四人民医院 护士_x000D_
2014.06—2018.08 镇江市精神卫生中心 护士_x000D_
"</f>
        <v xml:space="preserve">2005.09—2008.06 河南省陕州中学 学生_x000D_
2008.09—2009.07 陕县第一高级中学 学生_x000D_
2009.09—2012.06 苏州卫生职业技术学院护理系 学生_x000D_
2012.07—2013.01 镇江市第四人民医院 护士_x000D_
2014.06—2018.08 镇江市精神卫生中心 护士_x000D_
</v>
      </c>
      <c r="AC219" s="2" t="str">
        <f>"具有护士执业资格证"</f>
        <v>具有护士执业资格证</v>
      </c>
      <c r="AD219" s="2" t="str">
        <f>""</f>
        <v/>
      </c>
      <c r="AE219" s="4">
        <v>43430.614652777775</v>
      </c>
      <c r="AF219" s="2">
        <v>1</v>
      </c>
      <c r="AG219" s="2">
        <v>1</v>
      </c>
      <c r="AH219" s="2">
        <v>1</v>
      </c>
      <c r="AI219" s="2" t="str">
        <f>"18002029207"</f>
        <v>18002029207</v>
      </c>
      <c r="AJ219" s="2">
        <v>92</v>
      </c>
      <c r="AK219" s="2">
        <v>7</v>
      </c>
      <c r="AL219" s="2" t="s">
        <v>42</v>
      </c>
      <c r="AM219" s="2" t="s">
        <v>43</v>
      </c>
      <c r="AN219" s="2">
        <v>2</v>
      </c>
      <c r="AO219" s="2">
        <v>1263</v>
      </c>
      <c r="AP219" s="2" t="s">
        <v>55</v>
      </c>
      <c r="AQ219" s="2"/>
      <c r="AR219" s="2" t="s">
        <v>107</v>
      </c>
      <c r="AS219" s="3" t="s">
        <v>112</v>
      </c>
      <c r="AT219" s="2">
        <v>81</v>
      </c>
      <c r="AU219" s="2" t="s">
        <v>117</v>
      </c>
      <c r="AV219" s="6">
        <f t="shared" si="123"/>
        <v>81</v>
      </c>
      <c r="AW219" s="2">
        <v>4</v>
      </c>
      <c r="AX219" s="2"/>
      <c r="AY219" s="2"/>
    </row>
    <row r="220" spans="1:51" ht="18.75" customHeight="1">
      <c r="A220" t="str">
        <f>"1002201811281226414761"</f>
        <v>1002201811281226414761</v>
      </c>
      <c r="B220" s="9">
        <v>218</v>
      </c>
      <c r="C220" s="2" t="s">
        <v>49</v>
      </c>
      <c r="D220" s="2" t="str">
        <f>"王佳佳"</f>
        <v>王佳佳</v>
      </c>
      <c r="E220" s="2" t="str">
        <f t="shared" ref="E220:E221" si="131">"女"</f>
        <v>女</v>
      </c>
      <c r="F220" s="2" t="str">
        <f>"1992-01-13"</f>
        <v>1992-01-13</v>
      </c>
      <c r="G220" s="2" t="str">
        <f>"320682199201131406"</f>
        <v>320682199201131406</v>
      </c>
      <c r="H220" s="2" t="str">
        <f>"江苏如皋"</f>
        <v>江苏如皋</v>
      </c>
      <c r="I220" s="2" t="str">
        <f t="shared" si="107"/>
        <v>非应届生</v>
      </c>
      <c r="J220" s="2" t="str">
        <f>"护师"</f>
        <v>护师</v>
      </c>
      <c r="K220" s="2" t="str">
        <f>"2017.07"</f>
        <v>2017.07</v>
      </c>
      <c r="L220" s="2" t="str">
        <f>"学士"</f>
        <v>学士</v>
      </c>
      <c r="M220" s="2" t="str">
        <f>"南京中医药大学"</f>
        <v>南京中医药大学</v>
      </c>
      <c r="N220" s="2" t="str">
        <f>"护理"</f>
        <v>护理</v>
      </c>
      <c r="O220" s="2" t="str">
        <f>"本科"</f>
        <v>本科</v>
      </c>
      <c r="P220" s="2" t="str">
        <f>"170"</f>
        <v>170</v>
      </c>
      <c r="Q220" s="2" t="str">
        <f>"如皋中医院"</f>
        <v>如皋中医院</v>
      </c>
      <c r="R220" s="2" t="str">
        <f>"2014.08"</f>
        <v>2014.08</v>
      </c>
      <c r="S220" s="2" t="str">
        <f>"如皋市如城镇紫竹园335幢105"</f>
        <v>如皋市如城镇紫竹园335幢105</v>
      </c>
      <c r="T220" s="2" t="str">
        <f>"226500"</f>
        <v>226500</v>
      </c>
      <c r="U220" s="2" t="str">
        <f>"无"</f>
        <v>无</v>
      </c>
      <c r="V220" s="2" t="str">
        <f>"13921680120"</f>
        <v>13921680120</v>
      </c>
      <c r="W220" s="2" t="str">
        <f>"无"</f>
        <v>无</v>
      </c>
      <c r="X220" s="2" t="str">
        <f t="shared" si="130"/>
        <v>否</v>
      </c>
      <c r="Y220" s="2" t="str">
        <f>"英语三级"</f>
        <v>英语三级</v>
      </c>
      <c r="Z220" s="2" t="str">
        <f>"计算机一级"</f>
        <v>计算机一级</v>
      </c>
      <c r="AA220" s="2" t="str">
        <f>"父女|王建|务农|母女|陆亚琴|务农|夫妻|佘争艳|南通大润发|||"</f>
        <v>父女|王建|务农|母女|陆亚琴|务农|夫妻|佘争艳|南通大润发|||</v>
      </c>
      <c r="AB220" s="2" t="str">
        <f>"2008.09-2011.06双甸高级中学_x000D_
2011.09-2014.06泰州职业技术学院_x000D_
2015.09-2017.07南京中医药大学_x000D_
2014.08至今如皋中医院护士"</f>
        <v>2008.09-2011.06双甸高级中学_x000D_
2011.09-2014.06泰州职业技术学院_x000D_
2015.09-2017.07南京中医药大学_x000D_
2014.08至今如皋中医院护士</v>
      </c>
      <c r="AC220" s="2" t="str">
        <f>"取得护士从业资格证书"</f>
        <v>取得护士从业资格证书</v>
      </c>
      <c r="AD220" s="2" t="str">
        <f>""</f>
        <v/>
      </c>
      <c r="AE220" s="4">
        <v>43432.628923611112</v>
      </c>
      <c r="AF220" s="2">
        <v>1</v>
      </c>
      <c r="AG220" s="2">
        <v>1</v>
      </c>
      <c r="AH220" s="2">
        <v>1</v>
      </c>
      <c r="AI220" s="2" t="str">
        <f>"18002029330"</f>
        <v>18002029330</v>
      </c>
      <c r="AJ220" s="2">
        <v>93</v>
      </c>
      <c r="AK220" s="2">
        <v>30</v>
      </c>
      <c r="AL220" s="2" t="s">
        <v>42</v>
      </c>
      <c r="AM220" s="2" t="s">
        <v>43</v>
      </c>
      <c r="AN220" s="2">
        <v>2</v>
      </c>
      <c r="AO220" s="2">
        <v>8402</v>
      </c>
      <c r="AP220" s="2" t="s">
        <v>77</v>
      </c>
      <c r="AQ220" s="2"/>
      <c r="AR220" s="2" t="s">
        <v>107</v>
      </c>
      <c r="AS220" s="3" t="s">
        <v>112</v>
      </c>
      <c r="AT220" s="2">
        <v>80.5</v>
      </c>
      <c r="AU220" s="2" t="s">
        <v>117</v>
      </c>
      <c r="AV220" s="6">
        <f t="shared" si="123"/>
        <v>80.5</v>
      </c>
      <c r="AW220" s="2">
        <v>5</v>
      </c>
      <c r="AX220" s="2"/>
      <c r="AY220" s="2"/>
    </row>
    <row r="221" spans="1:51" ht="18.75" customHeight="1">
      <c r="A221" t="str">
        <f>"1002201811271025313391"</f>
        <v>1002201811271025313391</v>
      </c>
      <c r="B221" s="9">
        <v>219</v>
      </c>
      <c r="C221" s="2" t="s">
        <v>49</v>
      </c>
      <c r="D221" s="2" t="str">
        <f>"袁亮"</f>
        <v>袁亮</v>
      </c>
      <c r="E221" s="2" t="str">
        <f t="shared" si="131"/>
        <v>女</v>
      </c>
      <c r="F221" s="2" t="str">
        <f>"1983-04-29"</f>
        <v>1983-04-29</v>
      </c>
      <c r="G221" s="2" t="str">
        <f>"320602198304295327"</f>
        <v>320602198304295327</v>
      </c>
      <c r="H221" s="2" t="str">
        <f>"江苏省南通市"</f>
        <v>江苏省南通市</v>
      </c>
      <c r="I221" s="2" t="str">
        <f t="shared" si="107"/>
        <v>非应届生</v>
      </c>
      <c r="J221" s="2" t="str">
        <f>"中级"</f>
        <v>中级</v>
      </c>
      <c r="K221" s="2" t="str">
        <f>"2016.7"</f>
        <v>2016.7</v>
      </c>
      <c r="L221" s="2" t="str">
        <f>"学士"</f>
        <v>学士</v>
      </c>
      <c r="M221" s="2" t="str">
        <f>"南通大学"</f>
        <v>南通大学</v>
      </c>
      <c r="N221" s="2" t="str">
        <f>"护理学"</f>
        <v>护理学</v>
      </c>
      <c r="O221" s="2" t="str">
        <f>"本科"</f>
        <v>本科</v>
      </c>
      <c r="P221" s="2" t="str">
        <f>"156"</f>
        <v>156</v>
      </c>
      <c r="Q221" s="2" t="str">
        <f>"南通市疾病预防控制中心"</f>
        <v>南通市疾病预防控制中心</v>
      </c>
      <c r="R221" s="2" t="str">
        <f>"2001.8"</f>
        <v>2001.8</v>
      </c>
      <c r="S221" s="2" t="str">
        <f>"南通市疾病预防控制中心"</f>
        <v>南通市疾病预防控制中心</v>
      </c>
      <c r="T221" s="2" t="str">
        <f>"226000"</f>
        <v>226000</v>
      </c>
      <c r="U221" s="2" t="str">
        <f>"83515889"</f>
        <v>83515889</v>
      </c>
      <c r="V221" s="2" t="str">
        <f>"13951317229"</f>
        <v>13951317229</v>
      </c>
      <c r="W221" s="2" t="str">
        <f>"未考"</f>
        <v>未考</v>
      </c>
      <c r="X221" s="2" t="str">
        <f t="shared" si="130"/>
        <v>否</v>
      </c>
      <c r="Y221" s="2" t="str">
        <f>"未考"</f>
        <v>未考</v>
      </c>
      <c r="Z221" s="2" t="str">
        <f>"初级"</f>
        <v>初级</v>
      </c>
      <c r="AA221" s="2" t="str">
        <f>"丈夫|陈建|南通市东丽合成纤维|||||||||"</f>
        <v>丈夫|陈建|南通市东丽合成纤维|||||||||</v>
      </c>
      <c r="AB221" s="2" t="str">
        <f>"1998.9-2001.7 南通体臣卫校_x000D_
2001.8-2003.5 南通市港口医院_x000D_
2003.5至今 南通市疾病预防控制中心"</f>
        <v>1998.9-2001.7 南通体臣卫校_x000D_
2001.8-2003.5 南通市港口医院_x000D_
2003.5至今 南通市疾病预防控制中心</v>
      </c>
      <c r="AC221" s="2" t="str">
        <f>"有护士从业资格证书_x000D_
"</f>
        <v xml:space="preserve">有护士从业资格证书_x000D_
</v>
      </c>
      <c r="AD221" s="2" t="str">
        <f>""</f>
        <v/>
      </c>
      <c r="AE221" s="4">
        <v>43430.639976851853</v>
      </c>
      <c r="AF221" s="2">
        <v>1</v>
      </c>
      <c r="AG221" s="2">
        <v>1</v>
      </c>
      <c r="AH221" s="2">
        <v>2</v>
      </c>
      <c r="AI221" s="2" t="str">
        <f>"18002029210"</f>
        <v>18002029210</v>
      </c>
      <c r="AJ221" s="2">
        <v>92</v>
      </c>
      <c r="AK221" s="2">
        <v>10</v>
      </c>
      <c r="AL221" s="2" t="s">
        <v>42</v>
      </c>
      <c r="AM221" s="2" t="s">
        <v>43</v>
      </c>
      <c r="AN221" s="2">
        <v>2</v>
      </c>
      <c r="AO221" s="2">
        <v>1767</v>
      </c>
      <c r="AP221" s="2" t="s">
        <v>75</v>
      </c>
      <c r="AQ221" s="2"/>
      <c r="AR221" s="2" t="s">
        <v>107</v>
      </c>
      <c r="AS221" s="3" t="s">
        <v>112</v>
      </c>
      <c r="AT221" s="2">
        <v>79</v>
      </c>
      <c r="AU221" s="2" t="s">
        <v>117</v>
      </c>
      <c r="AV221" s="6">
        <f t="shared" si="123"/>
        <v>79</v>
      </c>
      <c r="AW221" s="2">
        <v>6</v>
      </c>
      <c r="AX221" s="2"/>
      <c r="AY221" s="2"/>
    </row>
    <row r="222" spans="1:51" ht="18.75" customHeight="1">
      <c r="A222" t="str">
        <f>"1002201811262123372892"</f>
        <v>1002201811262123372892</v>
      </c>
      <c r="B222" s="9">
        <v>220</v>
      </c>
      <c r="C222" s="2" t="s">
        <v>225</v>
      </c>
      <c r="D222" s="2" t="str">
        <f>"柯毅"</f>
        <v>柯毅</v>
      </c>
      <c r="E222" s="2" t="str">
        <f>"男"</f>
        <v>男</v>
      </c>
      <c r="F222" s="2" t="str">
        <f>"1994-09-16"</f>
        <v>1994-09-16</v>
      </c>
      <c r="G222" s="2" t="str">
        <f>"320682199409168953"</f>
        <v>320682199409168953</v>
      </c>
      <c r="H222" s="2" t="str">
        <f>"江苏如皋"</f>
        <v>江苏如皋</v>
      </c>
      <c r="I222" s="2" t="str">
        <f t="shared" si="107"/>
        <v>非应届生</v>
      </c>
      <c r="J222" s="2" t="str">
        <f>"三级（中级）公证员"</f>
        <v>三级（中级）公证员</v>
      </c>
      <c r="K222" s="2" t="str">
        <f>"2016.6.30"</f>
        <v>2016.6.30</v>
      </c>
      <c r="L222" s="2" t="str">
        <f>"学士"</f>
        <v>学士</v>
      </c>
      <c r="M222" s="2" t="str">
        <f>"苏州科技大学"</f>
        <v>苏州科技大学</v>
      </c>
      <c r="N222" s="2" t="str">
        <f>"生物技术"</f>
        <v>生物技术</v>
      </c>
      <c r="O222" s="2" t="str">
        <f t="shared" ref="O222:O223" si="132">"本科"</f>
        <v>本科</v>
      </c>
      <c r="P222" s="2" t="str">
        <f>"180cm"</f>
        <v>180cm</v>
      </c>
      <c r="Q222" s="2" t="str">
        <f>"如皋市粮食购销公司"</f>
        <v>如皋市粮食购销公司</v>
      </c>
      <c r="R222" s="2" t="str">
        <f>"2016.7.2"</f>
        <v>2016.7.2</v>
      </c>
      <c r="S222" s="2" t="str">
        <f>"江苏省南通市如皋市如城街道惠政新村113栋-304室"</f>
        <v>江苏省南通市如皋市如城街道惠政新村113栋-304室</v>
      </c>
      <c r="T222" s="2" t="str">
        <f>"226500"</f>
        <v>226500</v>
      </c>
      <c r="U222" s="2" t="str">
        <f>"无"</f>
        <v>无</v>
      </c>
      <c r="V222" s="2" t="str">
        <f>"15162881203"</f>
        <v>15162881203</v>
      </c>
      <c r="W222" s="2" t="str">
        <f>"无"</f>
        <v>无</v>
      </c>
      <c r="X222" s="2" t="str">
        <f t="shared" si="130"/>
        <v>否</v>
      </c>
      <c r="Y222" s="2" t="str">
        <f>"英语六级"</f>
        <v>英语六级</v>
      </c>
      <c r="Z222" s="2" t="str">
        <f>"熟练"</f>
        <v>熟练</v>
      </c>
      <c r="AA222" s="2" t="str">
        <f>"父亲|仲建华|如皋市供销合作总社|母亲|柯晓君|如皋文峰大世界||||||"</f>
        <v>父亲|仲建华|如皋市供销合作总社|母亲|柯晓君|如皋文峰大世界||||||</v>
      </c>
      <c r="AB222" s="2" t="str">
        <f>"2009.09—2012.06 如皋市第一中学 学生_x000D_
2012.09—2016.06 苏州科技大学化学生物与材料工程学院 学生_x000D_
2016.07至今 如皋市粮食局 国有粮食企业派遣办事员"</f>
        <v>2009.09—2012.06 如皋市第一中学 学生_x000D_
2012.09—2016.06 苏州科技大学化学生物与材料工程学院 学生_x000D_
2016.07至今 如皋市粮食局 国有粮食企业派遣办事员</v>
      </c>
      <c r="AC222" s="2" t="str">
        <f>"无"</f>
        <v>无</v>
      </c>
      <c r="AD222" s="2" t="str">
        <f>""</f>
        <v/>
      </c>
      <c r="AE222" s="4">
        <v>43434.391423611109</v>
      </c>
      <c r="AF222" s="2">
        <v>1</v>
      </c>
      <c r="AG222" s="2">
        <v>1</v>
      </c>
      <c r="AH222" s="2">
        <v>1</v>
      </c>
      <c r="AI222" s="2" t="str">
        <f>"18002017027"</f>
        <v>18002017027</v>
      </c>
      <c r="AJ222" s="2">
        <v>70</v>
      </c>
      <c r="AK222" s="2">
        <v>27</v>
      </c>
      <c r="AL222" s="2" t="s">
        <v>119</v>
      </c>
      <c r="AM222" s="2" t="s">
        <v>120</v>
      </c>
      <c r="AN222" s="2">
        <v>1</v>
      </c>
      <c r="AO222" s="2">
        <v>5578</v>
      </c>
      <c r="AP222" s="2" t="s">
        <v>226</v>
      </c>
      <c r="AQ222" s="2"/>
      <c r="AR222" s="2" t="s">
        <v>330</v>
      </c>
      <c r="AS222" s="3" t="s">
        <v>331</v>
      </c>
      <c r="AT222" s="2" t="s">
        <v>117</v>
      </c>
      <c r="AU222" s="2" t="s">
        <v>117</v>
      </c>
      <c r="AV222" s="7">
        <v>61.3</v>
      </c>
      <c r="AW222" s="2">
        <v>1</v>
      </c>
      <c r="AX222" s="2"/>
      <c r="AY222" s="2"/>
    </row>
    <row r="223" spans="1:51" ht="18.75" customHeight="1">
      <c r="A223" t="str">
        <f>"1002201811261104111161"</f>
        <v>1002201811261104111161</v>
      </c>
      <c r="B223" s="9">
        <v>221</v>
      </c>
      <c r="C223" s="2" t="s">
        <v>225</v>
      </c>
      <c r="D223" s="2" t="str">
        <f>"陈春华"</f>
        <v>陈春华</v>
      </c>
      <c r="E223" s="2" t="str">
        <f>"男"</f>
        <v>男</v>
      </c>
      <c r="F223" s="2" t="str">
        <f>"1978-02-12"</f>
        <v>1978-02-12</v>
      </c>
      <c r="G223" s="2" t="str">
        <f>"320682197802127470"</f>
        <v>320682197802127470</v>
      </c>
      <c r="H223" s="2" t="str">
        <f>"如皋市磨头镇天阳村七组18号"</f>
        <v>如皋市磨头镇天阳村七组18号</v>
      </c>
      <c r="I223" s="2" t="str">
        <f t="shared" si="107"/>
        <v>非应届生</v>
      </c>
      <c r="J223" s="2" t="str">
        <f>"公证专业中级专业技术资格"</f>
        <v>公证专业中级专业技术资格</v>
      </c>
      <c r="K223" s="2" t="str">
        <f>"2018.06"</f>
        <v>2018.06</v>
      </c>
      <c r="L223" s="2" t="str">
        <f>"研究生"</f>
        <v>研究生</v>
      </c>
      <c r="M223" s="2" t="str">
        <f>"东南大学"</f>
        <v>东南大学</v>
      </c>
      <c r="N223" s="2" t="str">
        <f>"法律"</f>
        <v>法律</v>
      </c>
      <c r="O223" s="2" t="str">
        <f t="shared" si="132"/>
        <v>本科</v>
      </c>
      <c r="P223" s="2" t="str">
        <f>"171"</f>
        <v>171</v>
      </c>
      <c r="Q223" s="2" t="str">
        <f>"江苏省如皋市公证处"</f>
        <v>江苏省如皋市公证处</v>
      </c>
      <c r="R223" s="2" t="str">
        <f>"1997.02"</f>
        <v>1997.02</v>
      </c>
      <c r="S223" s="2" t="str">
        <f>"如皋市如城街道长宁路100号"</f>
        <v>如皋市如城街道长宁路100号</v>
      </c>
      <c r="T223" s="2" t="str">
        <f>"226500"</f>
        <v>226500</v>
      </c>
      <c r="U223" s="2" t="str">
        <f>"87650907"</f>
        <v>87650907</v>
      </c>
      <c r="V223" s="2" t="str">
        <f>"13773778077"</f>
        <v>13773778077</v>
      </c>
      <c r="W223" s="2" t="str">
        <f>"无"</f>
        <v>无</v>
      </c>
      <c r="X223" s="2" t="str">
        <f t="shared" si="130"/>
        <v>否</v>
      </c>
      <c r="Y223" s="2" t="str">
        <f>"熟练"</f>
        <v>熟练</v>
      </c>
      <c r="Z223" s="2" t="str">
        <f>"熟练"</f>
        <v>熟练</v>
      </c>
      <c r="AA223" s="2" t="str">
        <f>"父亲|陈中德|退休|妻子|张春红|南通海炜房地产开发有限公司||||||"</f>
        <v>父亲|陈中德|退休|妻子|张春红|南通海炜房地产开发有限公司||||||</v>
      </c>
      <c r="AB223" s="2" t="str">
        <f>"1997年2月至2001年3月  如皋市纺织厂工作_x000D_
（期间于1998年9月至2000年7月在中国政法大学学习）_x000D_
2001年4月至2005年4月  江苏如一律师事务所工作_x000D_
（期间于2007年6月取得北京大学自学考试本科文凭）_x000D_
2007年5月至今         江苏省如皋市公证处工作_x000D_
（期间于2015年3月至2018年6月在东南大学在职学习取得法律硕士专业学位）"</f>
        <v>1997年2月至2001年3月  如皋市纺织厂工作_x000D_
（期间于1998年9月至2000年7月在中国政法大学学习）_x000D_
2001年4月至2005年4月  江苏如一律师事务所工作_x000D_
（期间于2007年6月取得北京大学自学考试本科文凭）_x000D_
2007年5月至今         江苏省如皋市公证处工作_x000D_
（期间于2015年3月至2018年6月在东南大学在职学习取得法律硕士专业学位）</v>
      </c>
      <c r="AC223" s="2" t="str">
        <f>"执业公证员，并具有公证专业中级（三级）专业技术资格"</f>
        <v>执业公证员，并具有公证专业中级（三级）专业技术资格</v>
      </c>
      <c r="AD223" s="2" t="str">
        <f>""</f>
        <v/>
      </c>
      <c r="AE223" s="4">
        <v>43430.606377314813</v>
      </c>
      <c r="AF223" s="2">
        <v>1</v>
      </c>
      <c r="AG223" s="2">
        <v>1</v>
      </c>
      <c r="AH223" s="2">
        <v>2</v>
      </c>
      <c r="AI223" s="2" t="str">
        <f>"18002017026"</f>
        <v>18002017026</v>
      </c>
      <c r="AJ223" s="2">
        <v>70</v>
      </c>
      <c r="AK223" s="2">
        <v>26</v>
      </c>
      <c r="AL223" s="2" t="s">
        <v>119</v>
      </c>
      <c r="AM223" s="2" t="s">
        <v>120</v>
      </c>
      <c r="AN223" s="2">
        <v>1</v>
      </c>
      <c r="AO223" s="2">
        <v>5365</v>
      </c>
      <c r="AP223" s="2" t="s">
        <v>46</v>
      </c>
      <c r="AQ223" s="2"/>
      <c r="AR223" s="2" t="s">
        <v>330</v>
      </c>
      <c r="AS223" s="3" t="s">
        <v>331</v>
      </c>
      <c r="AT223" s="2" t="s">
        <v>117</v>
      </c>
      <c r="AU223" s="2" t="s">
        <v>117</v>
      </c>
      <c r="AV223" s="7">
        <v>59.4</v>
      </c>
      <c r="AW223" s="2">
        <v>2</v>
      </c>
      <c r="AX223" s="2"/>
      <c r="AY223" s="2"/>
    </row>
  </sheetData>
  <mergeCells count="1">
    <mergeCell ref="B1:AX1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1002_5c271b3b60a79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2019-01-09T09:24:08Z</cp:lastPrinted>
  <dcterms:created xsi:type="dcterms:W3CDTF">2018-12-29T07:07:03Z</dcterms:created>
  <dcterms:modified xsi:type="dcterms:W3CDTF">2019-01-10T00:44:57Z</dcterms:modified>
</cp:coreProperties>
</file>